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544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D12" i="2" l="1"/>
  <c r="O63" i="3"/>
  <c r="O62" i="3"/>
  <c r="O61" i="3"/>
  <c r="O60" i="3"/>
  <c r="O58" i="3"/>
  <c r="O57" i="3"/>
  <c r="O56" i="3"/>
  <c r="O53" i="3"/>
  <c r="O52" i="3"/>
  <c r="O50" i="3"/>
  <c r="O49" i="3"/>
  <c r="O48" i="3"/>
  <c r="O47" i="3"/>
  <c r="O45" i="3"/>
  <c r="O44" i="3"/>
  <c r="O42" i="3"/>
  <c r="O37" i="3"/>
  <c r="O35" i="3"/>
  <c r="O32" i="3"/>
  <c r="O30" i="3"/>
  <c r="O27" i="3"/>
  <c r="O26" i="3"/>
  <c r="O25" i="3"/>
  <c r="O24" i="3"/>
  <c r="O22" i="3"/>
  <c r="O19" i="3"/>
  <c r="O18" i="3"/>
  <c r="O17" i="3"/>
  <c r="O16" i="3"/>
  <c r="O14" i="3"/>
  <c r="O13" i="3"/>
  <c r="O11" i="3"/>
  <c r="O9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3" i="3"/>
  <c r="M32" i="3"/>
  <c r="M31" i="3"/>
  <c r="M30" i="3"/>
  <c r="M29" i="3"/>
  <c r="M28" i="3"/>
  <c r="M27" i="3"/>
  <c r="M26" i="3"/>
  <c r="M25" i="3"/>
  <c r="M24" i="3"/>
  <c r="M23" i="3"/>
  <c r="M22" i="3"/>
  <c r="M20" i="3"/>
  <c r="M19" i="3"/>
  <c r="M18" i="3"/>
  <c r="M17" i="3"/>
  <c r="M16" i="3"/>
  <c r="M15" i="3"/>
  <c r="M14" i="3"/>
  <c r="M13" i="3"/>
  <c r="M12" i="3"/>
  <c r="M10" i="3"/>
  <c r="M9" i="3"/>
  <c r="M8" i="3"/>
  <c r="O7" i="3"/>
  <c r="N7" i="3"/>
  <c r="M7" i="3"/>
  <c r="L63" i="3"/>
  <c r="L62" i="3"/>
  <c r="L61" i="3"/>
  <c r="L60" i="3"/>
  <c r="L58" i="3"/>
  <c r="L57" i="3"/>
  <c r="L56" i="3"/>
  <c r="L53" i="3"/>
  <c r="L52" i="3"/>
  <c r="L50" i="3"/>
  <c r="L49" i="3"/>
  <c r="L48" i="3"/>
  <c r="L47" i="3"/>
  <c r="L45" i="3"/>
  <c r="L44" i="3"/>
  <c r="L42" i="3"/>
  <c r="L37" i="3"/>
  <c r="L35" i="3"/>
  <c r="L32" i="3"/>
  <c r="L30" i="3"/>
  <c r="L27" i="3"/>
  <c r="L26" i="3"/>
  <c r="L25" i="3"/>
  <c r="L24" i="3"/>
  <c r="L22" i="3"/>
  <c r="L19" i="3"/>
  <c r="L18" i="3"/>
  <c r="L17" i="3"/>
  <c r="L16" i="3"/>
  <c r="L14" i="3"/>
  <c r="L13" i="3"/>
  <c r="L11" i="3"/>
  <c r="L9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L7" i="3"/>
  <c r="K7" i="3"/>
  <c r="H39" i="3"/>
  <c r="L39" i="3" s="1"/>
  <c r="H28" i="3"/>
  <c r="L28" i="3" s="1"/>
  <c r="H29" i="3"/>
  <c r="L29" i="3" s="1"/>
  <c r="H51" i="3"/>
  <c r="I51" i="3" s="1"/>
  <c r="I63" i="3"/>
  <c r="I62" i="3"/>
  <c r="I61" i="3"/>
  <c r="I60" i="3"/>
  <c r="I58" i="3"/>
  <c r="I57" i="3"/>
  <c r="I56" i="3"/>
  <c r="I53" i="3"/>
  <c r="I52" i="3"/>
  <c r="I50" i="3"/>
  <c r="I49" i="3"/>
  <c r="I48" i="3"/>
  <c r="I47" i="3"/>
  <c r="I45" i="3"/>
  <c r="I44" i="3"/>
  <c r="I42" i="3"/>
  <c r="I39" i="3"/>
  <c r="I37" i="3"/>
  <c r="I35" i="3"/>
  <c r="I32" i="3"/>
  <c r="I30" i="3"/>
  <c r="I28" i="3"/>
  <c r="I27" i="3"/>
  <c r="I26" i="3"/>
  <c r="I25" i="3"/>
  <c r="I24" i="3"/>
  <c r="I22" i="3"/>
  <c r="I19" i="3"/>
  <c r="I18" i="3"/>
  <c r="I17" i="3"/>
  <c r="I16" i="3"/>
  <c r="I14" i="3"/>
  <c r="I13" i="3"/>
  <c r="I11" i="3"/>
  <c r="I9" i="3"/>
  <c r="I7" i="3"/>
  <c r="H59" i="3"/>
  <c r="L59" i="3" s="1"/>
  <c r="H55" i="3"/>
  <c r="L55" i="3" s="1"/>
  <c r="H54" i="3"/>
  <c r="L54" i="3" s="1"/>
  <c r="H46" i="3"/>
  <c r="L46" i="3" s="1"/>
  <c r="H43" i="3"/>
  <c r="I43" i="3" s="1"/>
  <c r="H41" i="3"/>
  <c r="I41" i="3" s="1"/>
  <c r="H40" i="3"/>
  <c r="L40" i="3" s="1"/>
  <c r="H38" i="3"/>
  <c r="L38" i="3" s="1"/>
  <c r="H36" i="3"/>
  <c r="L36" i="3" s="1"/>
  <c r="H34" i="3"/>
  <c r="L34" i="3" s="1"/>
  <c r="H33" i="3"/>
  <c r="I33" i="3" s="1"/>
  <c r="H31" i="3"/>
  <c r="I31" i="3" s="1"/>
  <c r="H23" i="3"/>
  <c r="I23" i="3" s="1"/>
  <c r="H21" i="3"/>
  <c r="I21" i="3" s="1"/>
  <c r="H20" i="3"/>
  <c r="L20" i="3" s="1"/>
  <c r="H15" i="3"/>
  <c r="I15" i="3" s="1"/>
  <c r="H12" i="3"/>
  <c r="L12" i="3" s="1"/>
  <c r="H10" i="3"/>
  <c r="L10" i="3" s="1"/>
  <c r="H8" i="3"/>
  <c r="L8" i="3" s="1"/>
  <c r="F62" i="3"/>
  <c r="F61" i="3"/>
  <c r="F59" i="3"/>
  <c r="F58" i="3"/>
  <c r="F56" i="3"/>
  <c r="F55" i="3"/>
  <c r="F54" i="3"/>
  <c r="F53" i="3"/>
  <c r="F51" i="3"/>
  <c r="F50" i="3"/>
  <c r="F49" i="3"/>
  <c r="F48" i="3"/>
  <c r="F47" i="3"/>
  <c r="F46" i="3"/>
  <c r="F44" i="3"/>
  <c r="F43" i="3"/>
  <c r="F41" i="3"/>
  <c r="F40" i="3"/>
  <c r="F39" i="3"/>
  <c r="F38" i="3"/>
  <c r="F36" i="3"/>
  <c r="F34" i="3"/>
  <c r="F33" i="3"/>
  <c r="F32" i="3"/>
  <c r="F31" i="3"/>
  <c r="F29" i="3"/>
  <c r="F28" i="3"/>
  <c r="F27" i="3"/>
  <c r="F26" i="3"/>
  <c r="F25" i="3"/>
  <c r="F24" i="3"/>
  <c r="F23" i="3"/>
  <c r="F21" i="3"/>
  <c r="F20" i="3"/>
  <c r="F19" i="3"/>
  <c r="F17" i="3"/>
  <c r="F15" i="3"/>
  <c r="F14" i="3"/>
  <c r="F13" i="3"/>
  <c r="F12" i="3"/>
  <c r="F11" i="3"/>
  <c r="F10" i="3"/>
  <c r="F9" i="3"/>
  <c r="F8" i="3"/>
  <c r="D22" i="3"/>
  <c r="F22" i="3" s="1"/>
  <c r="D60" i="3"/>
  <c r="F60" i="3" s="1"/>
  <c r="D57" i="3"/>
  <c r="F57" i="3" s="1"/>
  <c r="D52" i="3"/>
  <c r="F52" i="3" s="1"/>
  <c r="D45" i="3"/>
  <c r="F45" i="3" s="1"/>
  <c r="D42" i="3"/>
  <c r="F42" i="3" s="1"/>
  <c r="D37" i="3"/>
  <c r="F37" i="3" s="1"/>
  <c r="D35" i="3"/>
  <c r="F35" i="3" s="1"/>
  <c r="D30" i="3"/>
  <c r="F30" i="3" s="1"/>
  <c r="D18" i="3"/>
  <c r="F18" i="3" s="1"/>
  <c r="D16" i="3"/>
  <c r="F16" i="3" s="1"/>
  <c r="D7" i="3"/>
  <c r="F7" i="3" s="1"/>
  <c r="D24" i="2"/>
  <c r="D23" i="2"/>
  <c r="D20" i="2"/>
  <c r="D18" i="2"/>
  <c r="D17" i="2"/>
  <c r="D15" i="2"/>
  <c r="D14" i="2"/>
  <c r="D13" i="2"/>
  <c r="D11" i="2"/>
  <c r="D10" i="2"/>
  <c r="D9" i="2"/>
  <c r="D8" i="2"/>
  <c r="O21" i="3" l="1"/>
  <c r="O29" i="3"/>
  <c r="O33" i="3"/>
  <c r="O41" i="3"/>
  <c r="O10" i="3"/>
  <c r="O34" i="3"/>
  <c r="O38" i="3"/>
  <c r="O46" i="3"/>
  <c r="O54" i="3"/>
  <c r="I29" i="3"/>
  <c r="O15" i="3"/>
  <c r="O23" i="3"/>
  <c r="O31" i="3"/>
  <c r="O39" i="3"/>
  <c r="O43" i="3"/>
  <c r="O51" i="3"/>
  <c r="O55" i="3"/>
  <c r="O59" i="3"/>
  <c r="O8" i="3"/>
  <c r="O12" i="3"/>
  <c r="O20" i="3"/>
  <c r="O28" i="3"/>
  <c r="O36" i="3"/>
  <c r="O40" i="3"/>
  <c r="I8" i="3"/>
  <c r="I10" i="3"/>
  <c r="I12" i="3"/>
  <c r="I20" i="3"/>
  <c r="I34" i="3"/>
  <c r="I36" i="3"/>
  <c r="I38" i="3"/>
  <c r="I40" i="3"/>
  <c r="I46" i="3"/>
  <c r="I55" i="3"/>
  <c r="I59" i="3"/>
  <c r="L15" i="3"/>
  <c r="L21" i="3"/>
  <c r="L23" i="3"/>
  <c r="L31" i="3"/>
  <c r="L33" i="3"/>
  <c r="L41" i="3"/>
  <c r="L43" i="3"/>
  <c r="L51" i="3"/>
  <c r="I54" i="3"/>
  <c r="D63" i="3"/>
  <c r="F63" i="3" s="1"/>
</calcChain>
</file>

<file path=xl/sharedStrings.xml><?xml version="1.0" encoding="utf-8"?>
<sst xmlns="http://schemas.openxmlformats.org/spreadsheetml/2006/main" count="168" uniqueCount="125">
  <si>
    <t>.001</t>
  </si>
  <si>
    <t>.003</t>
  </si>
  <si>
    <t>.005</t>
  </si>
  <si>
    <t>.006</t>
  </si>
  <si>
    <t>.013</t>
  </si>
  <si>
    <t>.014</t>
  </si>
  <si>
    <t>.019</t>
  </si>
  <si>
    <t>.022</t>
  </si>
  <si>
    <t>.023</t>
  </si>
  <si>
    <t>.068</t>
  </si>
  <si>
    <t>.079</t>
  </si>
  <si>
    <t>.067</t>
  </si>
  <si>
    <t>вид расхода</t>
  </si>
  <si>
    <t>НАИМЕНОВАНИЕ ВИДА РАСХОДА</t>
  </si>
  <si>
    <t>справочно за 2010 год</t>
  </si>
  <si>
    <t>тыс. руб.</t>
  </si>
  <si>
    <t>уд.вес.%</t>
  </si>
  <si>
    <t xml:space="preserve">2011 год </t>
  </si>
  <si>
    <t>тыс.руб.</t>
  </si>
  <si>
    <t>уд.вес %</t>
  </si>
  <si>
    <t>выполнение функций бюджетными учреждениями</t>
  </si>
  <si>
    <t>выполнение функций казенными учреждениями</t>
  </si>
  <si>
    <t>выполнение функций органами местного самоуправления</t>
  </si>
  <si>
    <t>мероприятия в области здравоохранения</t>
  </si>
  <si>
    <t>субсидии некоммерческим организациям</t>
  </si>
  <si>
    <t>бюджетные инвестиции</t>
  </si>
  <si>
    <t>социальные выплаты</t>
  </si>
  <si>
    <t>субсидииюридическим лицам</t>
  </si>
  <si>
    <t>прочие расходы</t>
  </si>
  <si>
    <t>функционирование органов в сфере национальной безопасности, правоохранительной деятельности и обороны</t>
  </si>
  <si>
    <t>мероприятия в сфере образования</t>
  </si>
  <si>
    <t>мероприятия по поддержке и развитию культуры, искусства, кинематографии,СМИ и архивного дела</t>
  </si>
  <si>
    <t>мероприятия в сфере социальной политики</t>
  </si>
  <si>
    <t>мероприятия в области здравоохранения, спорта и физкультуры и спорта</t>
  </si>
  <si>
    <t>мероприятия в области сельскохозяйственного производства</t>
  </si>
  <si>
    <t>природоохранные мероприятия</t>
  </si>
  <si>
    <t>проведение оздоровительных и других мероприятий для детей и молодежи</t>
  </si>
  <si>
    <t>ВСЕГО:</t>
  </si>
  <si>
    <t>ВИДЫ  РАСХОДОВ  БЮДЖЕТА  ГОРОДА  ЮГОРСКА  В  2011 ГОДУ</t>
  </si>
  <si>
    <t>(в тыс.руб.)</t>
  </si>
  <si>
    <t>наименование расходов</t>
  </si>
  <si>
    <t>раздел</t>
  </si>
  <si>
    <t>пораздел</t>
  </si>
  <si>
    <t>сводная бюджетная роспись на 2011 год</t>
  </si>
  <si>
    <t>первоначальный план расходов на 2011 год</t>
  </si>
  <si>
    <t>отклон. росписи от первон. плана</t>
  </si>
  <si>
    <t>план, утвержд. решением Думы от 23.12.11</t>
  </si>
  <si>
    <t>уточнен-ный план расходов на 2011г</t>
  </si>
  <si>
    <t>исполнение за 2011 год</t>
  </si>
  <si>
    <t>абсолютн.отклон. исполнения от первонач. плана</t>
  </si>
  <si>
    <t>абсолютн.отклон. исполнения от уточнен. плана</t>
  </si>
  <si>
    <t>%                 испол-нения плана, утвержд. 23.12.11</t>
  </si>
  <si>
    <t>%                 испол-нения уточнен-ного плана</t>
  </si>
  <si>
    <t>общегосударственные расходы</t>
  </si>
  <si>
    <t>.01</t>
  </si>
  <si>
    <t>функционирование высшего должностного лица МО</t>
  </si>
  <si>
    <t>.02</t>
  </si>
  <si>
    <t>функционирование представительного органа МО</t>
  </si>
  <si>
    <t>.03</t>
  </si>
  <si>
    <t>функционирование местных администраций</t>
  </si>
  <si>
    <t>.04</t>
  </si>
  <si>
    <t>судебная система</t>
  </si>
  <si>
    <t>.05</t>
  </si>
  <si>
    <t>.06</t>
  </si>
  <si>
    <t>обеспечение деятельности финансовых, налоговых и тамож. органов и органов финан. надзора</t>
  </si>
  <si>
    <t>обеспечение проведения выборов и референдумов</t>
  </si>
  <si>
    <t>.07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</si>
  <si>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</si>
  <si>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</si>
  <si>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</si>
  <si>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деятельн.</t>
  </si>
  <si>
    <t>органы внутренних дел</t>
  </si>
  <si>
    <t>защита населения и территории от чрезвычайных ситуаций природного и техногенного хар-ра, гражданская оборона</t>
  </si>
  <si>
    <t>.09</t>
  </si>
  <si>
    <t>другие вопросы в области национальной безопасности и правоохран.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</si>
  <si>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</si>
  <si>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</si>
  <si>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</si>
  <si>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лесное хозяйство</t>
  </si>
  <si>
    <t>транспорт</t>
  </si>
  <si>
    <t>.08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</si>
  <si>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</si>
  <si>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</si>
  <si>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</si>
  <si>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</si>
  <si>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</si>
  <si>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</si>
  <si>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</si>
  <si>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ЖКХ</t>
  </si>
  <si>
    <t>охрана окружающей среды</t>
  </si>
  <si>
    <t xml:space="preserve">охрана объектов растит. иживотного мира и среды их обит. 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</si>
  <si>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</si>
  <si>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</si>
  <si>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</si>
  <si>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</si>
  <si>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</t>
  </si>
  <si>
    <t>культура и кинематография</t>
  </si>
  <si>
    <t>культура</t>
  </si>
  <si>
    <t>другие вопросы в области культуры и кинематографии</t>
  </si>
  <si>
    <t>здравоохранение</t>
  </si>
  <si>
    <t>стациональная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</si>
  <si>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</si>
  <si>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</si>
  <si>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</si>
  <si>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заготовка, переработка, хране-ние и обеспечение безопасности донорской крови и ее компонент.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</si>
  <si>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</si>
  <si>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</si>
  <si>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</si>
  <si>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</si>
  <si>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</si>
  <si>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</si>
  <si>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спорт</t>
  </si>
  <si>
    <t>средства массовой информации</t>
  </si>
  <si>
    <t>ВСЕГО РАСХОДОВ:</t>
  </si>
  <si>
    <t>обслуживание муниципал. долга</t>
  </si>
  <si>
    <t>периодическая печать и издат-ва</t>
  </si>
  <si>
    <t>другие вопросы в области здравоохранения</t>
  </si>
  <si>
    <t>Приложение № 2</t>
  </si>
  <si>
    <t>к экспертному заключению от 09.04. 2012</t>
  </si>
  <si>
    <t>менее 0,1%</t>
  </si>
  <si>
    <t xml:space="preserve">приложение №1 </t>
  </si>
  <si>
    <t>к экспертному заключению от 09.04.2012</t>
  </si>
  <si>
    <t>отклон. уточн. плана от плана, утверж. 23.12.11</t>
  </si>
  <si>
    <t>%                 испол-нения первон. плано-вых назнач.</t>
  </si>
  <si>
    <t>РАСПРЕДЕЛЕНИЕ БЮДЖЕТНЫХ АССИГНОВАНИЙ ПО РАЗДЕЛАМ И ПОДРАЗДЕЛАМ КЛАССИФИКАЦИИ РАСХОДОВ БЮДЖЕТА ГОРОДА ЮГОРСКА В 2011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</si>
</sst>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textRotation="180"/>
    </xf>
    <xf numFmtId="0" fontId="3" fillId="0" borderId="1" xfId="0" applyFont="1" applyBorder="1" applyAlignment="1">
      <alignment horizontal="center" vertical="center" textRotation="180" wrapText="1"/>
    </xf>
    <xf numFmtId="0" fontId="4" fillId="0" borderId="1" xfId="0" applyFont="1" applyBorder="1" applyAlignment="1">
      <alignment horizontal="center" vertical="center" textRotation="180" wrapText="1"/>
    </xf>
    <xf numFmtId="0" fontId="2" fillId="0" borderId="1" xfId="0" applyFont="1" applyBorder="1" applyAlignment="1">
      <alignment horizontal="center" vertical="center" textRotation="180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NumberFormat="1" applyFont="1" applyBorder="1"/>
    <xf numFmtId="0" fontId="8" fillId="0" borderId="6" xfId="0" applyFont="1" applyFill="1" applyBorder="1"/>
    <xf numFmtId="164" fontId="9" fillId="0" borderId="1" xfId="0" applyNumberFormat="1" applyFont="1" applyBorder="1"/>
    <xf numFmtId="164" fontId="8" fillId="0" borderId="1" xfId="0" applyNumberFormat="1" applyFont="1" applyBorder="1"/>
    <xf numFmtId="0" fontId="1" fillId="0" borderId="1" xfId="0" applyFont="1" applyBorder="1" applyAlignment="1">
      <alignment horizontal="right"/>
    </xf>
    <xf numFmtId="9" fontId="1" fillId="0" borderId="1" xfId="0" applyNumberFormat="1" applyFont="1" applyBorder="1"/>
    <xf numFmtId="0" fontId="10" fillId="0" borderId="1" xfId="0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2" sqref="A2"/>
    </sheetView>
  </sheetViews>
  <sheetFormatPr defaultRowHeight="15" x14ac:dyDescent="0.25"/>
  <cols>
    <col min="1" max="1" width="8.140625" customWidth="1"/>
    <col min="2" max="2" width="50.85546875" customWidth="1"/>
    <col min="3" max="3" width="9.85546875" customWidth="1"/>
    <col min="4" max="4" width="8.140625" customWidth="1"/>
    <col min="5" max="5" width="10.140625" customWidth="1"/>
    <col min="6" max="6" width="8.5703125" customWidth="1"/>
  </cols>
  <sheetData>
    <row r="1" spans="1:6" x14ac:dyDescent="0.25">
      <c r="D1" s="39" t="s">
        <v>117</v>
      </c>
      <c r="E1" s="39"/>
      <c r="F1" s="39"/>
    </row>
    <row r="2" spans="1:6" x14ac:dyDescent="0.25">
      <c r="C2" s="40" t="s">
        <v>118</v>
      </c>
      <c r="D2" s="40"/>
      <c r="E2" s="40"/>
      <c r="F2" s="40"/>
    </row>
    <row r="4" spans="1:6" x14ac:dyDescent="0.25">
      <c r="A4" s="39" t="s">
        <v>38</v>
      </c>
      <c r="B4" s="39"/>
      <c r="C4" s="39"/>
      <c r="D4" s="39"/>
      <c r="E4" s="39"/>
      <c r="F4" s="39"/>
    </row>
    <row r="6" spans="1:6" ht="30" customHeight="1" x14ac:dyDescent="0.25">
      <c r="A6" s="45" t="s">
        <v>12</v>
      </c>
      <c r="B6" s="43" t="s">
        <v>13</v>
      </c>
      <c r="C6" s="47" t="s">
        <v>17</v>
      </c>
      <c r="D6" s="48"/>
      <c r="E6" s="41" t="s">
        <v>14</v>
      </c>
      <c r="F6" s="42"/>
    </row>
    <row r="7" spans="1:6" ht="30" x14ac:dyDescent="0.25">
      <c r="A7" s="46"/>
      <c r="B7" s="44"/>
      <c r="C7" s="3" t="s">
        <v>15</v>
      </c>
      <c r="D7" s="3" t="s">
        <v>16</v>
      </c>
      <c r="E7" s="5" t="s">
        <v>18</v>
      </c>
      <c r="F7" s="5" t="s">
        <v>19</v>
      </c>
    </row>
    <row r="8" spans="1:6" x14ac:dyDescent="0.25">
      <c r="A8" s="4" t="s">
        <v>0</v>
      </c>
      <c r="B8" s="1" t="s">
        <v>20</v>
      </c>
      <c r="C8" s="9">
        <v>1068077</v>
      </c>
      <c r="D8" s="10">
        <f>C8/C25</f>
        <v>0.2941378720345198</v>
      </c>
      <c r="E8" s="11">
        <v>1103038</v>
      </c>
      <c r="F8" s="13">
        <v>0.39200000000000002</v>
      </c>
    </row>
    <row r="9" spans="1:6" x14ac:dyDescent="0.25">
      <c r="A9" s="4" t="s">
        <v>1</v>
      </c>
      <c r="B9" s="1" t="s">
        <v>25</v>
      </c>
      <c r="C9" s="9">
        <v>1388485</v>
      </c>
      <c r="D9" s="10">
        <f>C9/C25</f>
        <v>0.38237507525379749</v>
      </c>
      <c r="E9" s="11">
        <v>451815.9</v>
      </c>
      <c r="F9" s="13">
        <v>0.16</v>
      </c>
    </row>
    <row r="10" spans="1:6" x14ac:dyDescent="0.25">
      <c r="A10" s="4" t="s">
        <v>2</v>
      </c>
      <c r="B10" s="1" t="s">
        <v>26</v>
      </c>
      <c r="C10" s="9">
        <v>126475.8</v>
      </c>
      <c r="D10" s="10">
        <f>C10/C25</f>
        <v>3.4830187969466173E-2</v>
      </c>
      <c r="E10" s="11">
        <v>94202.4</v>
      </c>
      <c r="F10" s="13">
        <v>3.3000000000000002E-2</v>
      </c>
    </row>
    <row r="11" spans="1:6" x14ac:dyDescent="0.25">
      <c r="A11" s="4" t="s">
        <v>3</v>
      </c>
      <c r="B11" s="1" t="s">
        <v>27</v>
      </c>
      <c r="C11" s="9">
        <v>122581.5</v>
      </c>
      <c r="D11" s="10">
        <f>C11/C25</f>
        <v>3.3757736156475135E-2</v>
      </c>
      <c r="E11" s="11">
        <v>261843.3</v>
      </c>
      <c r="F11" s="13">
        <v>9.2999999999999999E-2</v>
      </c>
    </row>
    <row r="12" spans="1:6" x14ac:dyDescent="0.25">
      <c r="A12" s="4" t="s">
        <v>4</v>
      </c>
      <c r="B12" s="1" t="s">
        <v>28</v>
      </c>
      <c r="C12" s="9">
        <v>7271.9</v>
      </c>
      <c r="D12" s="10">
        <f>C12/C25</f>
        <v>2.0026095418661993E-3</v>
      </c>
      <c r="E12" s="11">
        <v>9499.6</v>
      </c>
      <c r="F12" s="13">
        <v>3.0000000000000001E-3</v>
      </c>
    </row>
    <row r="13" spans="1:6" ht="45" x14ac:dyDescent="0.25">
      <c r="A13" s="6" t="s">
        <v>5</v>
      </c>
      <c r="B13" s="2" t="s">
        <v>29</v>
      </c>
      <c r="C13" s="9">
        <v>95909.8</v>
      </c>
      <c r="D13" s="10">
        <f>C13/C25</f>
        <v>2.6412613022522149E-2</v>
      </c>
      <c r="E13" s="11">
        <v>93922</v>
      </c>
      <c r="F13" s="13">
        <v>3.3000000000000002E-2</v>
      </c>
    </row>
    <row r="14" spans="1:6" x14ac:dyDescent="0.25">
      <c r="A14" s="4" t="s">
        <v>6</v>
      </c>
      <c r="B14" s="1" t="s">
        <v>24</v>
      </c>
      <c r="C14" s="9">
        <v>179322.3</v>
      </c>
      <c r="D14" s="10">
        <f>C14/C25</f>
        <v>4.9383592877981428E-2</v>
      </c>
      <c r="E14" s="11">
        <v>141487.9</v>
      </c>
      <c r="F14" s="13">
        <v>0.05</v>
      </c>
    </row>
    <row r="15" spans="1:6" x14ac:dyDescent="0.25">
      <c r="A15" s="4" t="s">
        <v>7</v>
      </c>
      <c r="B15" s="1" t="s">
        <v>30</v>
      </c>
      <c r="C15" s="9">
        <v>2698.4</v>
      </c>
      <c r="D15" s="10">
        <f>C15/C25</f>
        <v>7.4311274739363199E-4</v>
      </c>
      <c r="E15" s="11">
        <v>3506.7</v>
      </c>
      <c r="F15" s="13">
        <v>1E-3</v>
      </c>
    </row>
    <row r="16" spans="1:6" ht="30" x14ac:dyDescent="0.25">
      <c r="A16" s="6" t="s">
        <v>8</v>
      </c>
      <c r="B16" s="3" t="s">
        <v>31</v>
      </c>
      <c r="C16" s="9"/>
      <c r="D16" s="10"/>
      <c r="E16" s="11">
        <v>200</v>
      </c>
      <c r="F16" s="37" t="s">
        <v>119</v>
      </c>
    </row>
    <row r="17" spans="1:6" x14ac:dyDescent="0.25">
      <c r="A17" s="4" t="s">
        <v>11</v>
      </c>
      <c r="B17" s="1" t="s">
        <v>23</v>
      </c>
      <c r="C17" s="9">
        <v>1806.9</v>
      </c>
      <c r="D17" s="10">
        <f>C17/C25</f>
        <v>4.9760243969224495E-4</v>
      </c>
      <c r="E17" s="11"/>
      <c r="F17" s="13"/>
    </row>
    <row r="18" spans="1:6" x14ac:dyDescent="0.25">
      <c r="A18" s="4" t="s">
        <v>9</v>
      </c>
      <c r="B18" s="1" t="s">
        <v>32</v>
      </c>
      <c r="C18" s="9">
        <v>4928.3999999999996</v>
      </c>
      <c r="D18" s="10">
        <f>C18/C25</f>
        <v>1.3572327543191431E-3</v>
      </c>
      <c r="E18" s="11">
        <v>4471</v>
      </c>
      <c r="F18" s="13">
        <v>0.2</v>
      </c>
    </row>
    <row r="19" spans="1:6" ht="30" x14ac:dyDescent="0.25">
      <c r="A19" s="4" t="s">
        <v>10</v>
      </c>
      <c r="B19" s="8" t="s">
        <v>33</v>
      </c>
      <c r="C19" s="9"/>
      <c r="D19" s="10"/>
      <c r="E19" s="11">
        <v>4968.1000000000004</v>
      </c>
      <c r="F19" s="13">
        <v>2E-3</v>
      </c>
    </row>
    <row r="20" spans="1:6" ht="30" x14ac:dyDescent="0.25">
      <c r="A20" s="4">
        <v>342</v>
      </c>
      <c r="B20" s="8" t="s">
        <v>34</v>
      </c>
      <c r="C20" s="9">
        <v>61086.9</v>
      </c>
      <c r="D20" s="10">
        <f>C20/C25</f>
        <v>1.682272979868072E-2</v>
      </c>
      <c r="E20" s="11">
        <v>439.7</v>
      </c>
      <c r="F20" s="37" t="s">
        <v>119</v>
      </c>
    </row>
    <row r="21" spans="1:6" ht="26.25" x14ac:dyDescent="0.25">
      <c r="A21" s="4">
        <v>443</v>
      </c>
      <c r="B21" s="8" t="s">
        <v>35</v>
      </c>
      <c r="C21" s="9"/>
      <c r="D21" s="10"/>
      <c r="E21" s="11">
        <v>13</v>
      </c>
      <c r="F21" s="37" t="s">
        <v>119</v>
      </c>
    </row>
    <row r="22" spans="1:6" ht="30" x14ac:dyDescent="0.25">
      <c r="A22" s="4">
        <v>447</v>
      </c>
      <c r="B22" s="8" t="s">
        <v>36</v>
      </c>
      <c r="C22" s="9"/>
      <c r="D22" s="10"/>
      <c r="E22" s="11">
        <v>140</v>
      </c>
      <c r="F22" s="37" t="s">
        <v>119</v>
      </c>
    </row>
    <row r="23" spans="1:6" ht="30" x14ac:dyDescent="0.25">
      <c r="A23" s="4">
        <v>500</v>
      </c>
      <c r="B23" s="8" t="s">
        <v>22</v>
      </c>
      <c r="C23" s="9">
        <v>515767.8</v>
      </c>
      <c r="D23" s="10">
        <f>C23/C25</f>
        <v>0.14203736542957651</v>
      </c>
      <c r="E23" s="11">
        <v>646661.5</v>
      </c>
      <c r="F23" s="13">
        <v>0.23</v>
      </c>
    </row>
    <row r="24" spans="1:6" x14ac:dyDescent="0.25">
      <c r="A24" s="6">
        <v>701</v>
      </c>
      <c r="B24" s="8" t="s">
        <v>21</v>
      </c>
      <c r="C24" s="9">
        <v>56800.1</v>
      </c>
      <c r="D24" s="10">
        <f>C24/C25</f>
        <v>1.5642187356668037E-2</v>
      </c>
      <c r="E24" s="11"/>
      <c r="F24" s="13"/>
    </row>
    <row r="25" spans="1:6" x14ac:dyDescent="0.25">
      <c r="A25" s="1"/>
      <c r="B25" s="7" t="s">
        <v>37</v>
      </c>
      <c r="C25" s="33">
        <v>3631212.1</v>
      </c>
      <c r="D25" s="34">
        <v>1</v>
      </c>
      <c r="E25" s="35">
        <v>2816209.1</v>
      </c>
      <c r="F25" s="36">
        <v>1</v>
      </c>
    </row>
    <row r="26" spans="1:6" x14ac:dyDescent="0.25">
      <c r="E26" s="12"/>
      <c r="F26" s="12"/>
    </row>
    <row r="27" spans="1:6" x14ac:dyDescent="0.25">
      <c r="E27" s="12"/>
      <c r="F27" s="12"/>
    </row>
  </sheetData>
  <mergeCells count="7">
    <mergeCell ref="D1:F1"/>
    <mergeCell ref="C2:F2"/>
    <mergeCell ref="A4:F4"/>
    <mergeCell ref="E6:F6"/>
    <mergeCell ref="B6:B7"/>
    <mergeCell ref="A6:A7"/>
    <mergeCell ref="C6:D6"/>
  </mergeCells>
  <pageMargins left="0.43307086614173229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J6" sqref="J6"/>
    </sheetView>
  </sheetViews>
  <sheetFormatPr defaultRowHeight="15" x14ac:dyDescent="0.25"/>
  <cols>
    <col min="1" max="1" width="27.5703125" customWidth="1"/>
    <col min="2" max="2" width="3.5703125" customWidth="1"/>
    <col min="3" max="3" width="3.42578125" customWidth="1"/>
    <col min="6" max="6" width="4.85546875" customWidth="1"/>
    <col min="7" max="7" width="9.140625" customWidth="1"/>
    <col min="9" max="9" width="6.85546875" customWidth="1"/>
    <col min="10" max="10" width="11.5703125" customWidth="1"/>
    <col min="13" max="13" width="7.42578125" customWidth="1"/>
    <col min="14" max="14" width="8.140625" customWidth="1"/>
    <col min="15" max="15" width="7.7109375" customWidth="1"/>
  </cols>
  <sheetData>
    <row r="1" spans="1:15" x14ac:dyDescent="0.25">
      <c r="L1" t="s">
        <v>120</v>
      </c>
    </row>
    <row r="2" spans="1:15" x14ac:dyDescent="0.25">
      <c r="K2" t="s">
        <v>121</v>
      </c>
    </row>
    <row r="3" spans="1:15" ht="13.5" customHeight="1" x14ac:dyDescent="0.25"/>
    <row r="4" spans="1:15" x14ac:dyDescent="0.25">
      <c r="A4" s="22" t="s">
        <v>124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1:15" x14ac:dyDescent="0.25">
      <c r="M5" s="39" t="s">
        <v>39</v>
      </c>
      <c r="N5" s="39"/>
    </row>
    <row r="6" spans="1:15" ht="93" customHeight="1" x14ac:dyDescent="0.25">
      <c r="A6" s="16" t="s">
        <v>40</v>
      </c>
      <c r="B6" s="17" t="s">
        <v>41</v>
      </c>
      <c r="C6" s="17" t="s">
        <v>42</v>
      </c>
      <c r="D6" s="18" t="s">
        <v>43</v>
      </c>
      <c r="E6" s="19" t="s">
        <v>44</v>
      </c>
      <c r="F6" s="20" t="s">
        <v>45</v>
      </c>
      <c r="G6" s="21" t="s">
        <v>46</v>
      </c>
      <c r="H6" s="21" t="s">
        <v>47</v>
      </c>
      <c r="I6" s="21" t="s">
        <v>122</v>
      </c>
      <c r="J6" s="38" t="s">
        <v>48</v>
      </c>
      <c r="K6" s="21" t="s">
        <v>49</v>
      </c>
      <c r="L6" s="21" t="s">
        <v>50</v>
      </c>
      <c r="M6" s="21" t="s">
        <v>123</v>
      </c>
      <c r="N6" s="21" t="s">
        <v>51</v>
      </c>
      <c r="O6" s="21" t="s">
        <v>52</v>
      </c>
    </row>
    <row r="7" spans="1:15" ht="21.75" customHeight="1" x14ac:dyDescent="0.25">
      <c r="A7" s="23" t="s">
        <v>53</v>
      </c>
      <c r="B7" s="29" t="s">
        <v>54</v>
      </c>
      <c r="C7" s="7"/>
      <c r="D7" s="28">
        <f>D8+D9+D10+D12+D13+D14+D15</f>
        <v>228234</v>
      </c>
      <c r="E7" s="28">
        <v>228234</v>
      </c>
      <c r="F7" s="28">
        <f>E7-D7</f>
        <v>0</v>
      </c>
      <c r="G7" s="28">
        <v>252230.2</v>
      </c>
      <c r="H7" s="28">
        <v>252230.2</v>
      </c>
      <c r="I7" s="28">
        <f>H7-G7</f>
        <v>0</v>
      </c>
      <c r="J7" s="23">
        <v>250578.7</v>
      </c>
      <c r="K7" s="28">
        <f>J7-E7</f>
        <v>22344.700000000012</v>
      </c>
      <c r="L7" s="28">
        <f>J7-H7</f>
        <v>-1651.5</v>
      </c>
      <c r="M7" s="31">
        <f>J7/E7</f>
        <v>1.0979025912002593</v>
      </c>
      <c r="N7" s="31">
        <f>J7/G7</f>
        <v>0.99345240974316318</v>
      </c>
      <c r="O7" s="31">
        <f>J7/H7</f>
        <v>0.99345240974316318</v>
      </c>
    </row>
    <row r="8" spans="1:15" ht="24" x14ac:dyDescent="0.25">
      <c r="A8" s="25" t="s">
        <v>55</v>
      </c>
      <c r="B8" s="1"/>
      <c r="C8" s="1" t="s">
        <v>56</v>
      </c>
      <c r="D8" s="24">
        <v>3100</v>
      </c>
      <c r="E8" s="24">
        <v>3100</v>
      </c>
      <c r="F8" s="28">
        <f t="shared" ref="F8:F63" si="0">E8-D8</f>
        <v>0</v>
      </c>
      <c r="G8" s="24">
        <v>3605.8</v>
      </c>
      <c r="H8" s="24">
        <f>1971.3+1634.5</f>
        <v>3605.8</v>
      </c>
      <c r="I8" s="28">
        <f t="shared" ref="I8:I63" si="1">H8-G8</f>
        <v>0</v>
      </c>
      <c r="J8" s="5">
        <v>3605</v>
      </c>
      <c r="K8" s="24">
        <f t="shared" ref="K8:K63" si="2">J8-E8</f>
        <v>505</v>
      </c>
      <c r="L8" s="24">
        <f t="shared" ref="L8:L63" si="3">J8-H8</f>
        <v>-0.8000000000001819</v>
      </c>
      <c r="M8" s="32">
        <f t="shared" ref="M8:M63" si="4">J8/E8</f>
        <v>1.1629032258064516</v>
      </c>
      <c r="N8" s="32">
        <f t="shared" ref="N8:N63" si="5">J8/G8</f>
        <v>0.99977813522657932</v>
      </c>
      <c r="O8" s="32">
        <f t="shared" ref="O8:O63" si="6">J8/H8</f>
        <v>0.99977813522657932</v>
      </c>
    </row>
    <row r="9" spans="1:15" ht="24" x14ac:dyDescent="0.25">
      <c r="A9" s="25" t="s">
        <v>57</v>
      </c>
      <c r="B9" s="1"/>
      <c r="C9" s="1" t="s">
        <v>58</v>
      </c>
      <c r="D9" s="24">
        <v>15040</v>
      </c>
      <c r="E9" s="24">
        <v>15040</v>
      </c>
      <c r="F9" s="28">
        <f t="shared" si="0"/>
        <v>0</v>
      </c>
      <c r="G9" s="24">
        <v>12279.5</v>
      </c>
      <c r="H9" s="24">
        <v>12279.5</v>
      </c>
      <c r="I9" s="28">
        <f t="shared" si="1"/>
        <v>0</v>
      </c>
      <c r="J9" s="5">
        <v>12264.7</v>
      </c>
      <c r="K9" s="24">
        <f t="shared" si="2"/>
        <v>-2775.2999999999993</v>
      </c>
      <c r="L9" s="24">
        <f t="shared" si="3"/>
        <v>-14.799999999999272</v>
      </c>
      <c r="M9" s="32">
        <f t="shared" si="4"/>
        <v>0.81547207446808512</v>
      </c>
      <c r="N9" s="32">
        <f t="shared" si="5"/>
        <v>0.99879473919947892</v>
      </c>
      <c r="O9" s="32">
        <f t="shared" si="6"/>
        <v>0.99879473919947892</v>
      </c>
    </row>
    <row r="10" spans="1:15" ht="24" x14ac:dyDescent="0.25">
      <c r="A10" s="25" t="s">
        <v>59</v>
      </c>
      <c r="B10" s="1"/>
      <c r="C10" s="1" t="s">
        <v>60</v>
      </c>
      <c r="D10" s="24">
        <v>149128</v>
      </c>
      <c r="E10" s="24">
        <v>149128</v>
      </c>
      <c r="F10" s="28">
        <f t="shared" si="0"/>
        <v>0</v>
      </c>
      <c r="G10" s="24">
        <v>166429.29999999999</v>
      </c>
      <c r="H10" s="24">
        <f>164830.9+1300+298.4</f>
        <v>166429.29999999999</v>
      </c>
      <c r="I10" s="28">
        <f t="shared" si="1"/>
        <v>0</v>
      </c>
      <c r="J10" s="5">
        <v>166041</v>
      </c>
      <c r="K10" s="24">
        <f t="shared" si="2"/>
        <v>16913</v>
      </c>
      <c r="L10" s="24">
        <f t="shared" si="3"/>
        <v>-388.29999999998836</v>
      </c>
      <c r="M10" s="32">
        <f t="shared" si="4"/>
        <v>1.113412638806931</v>
      </c>
      <c r="N10" s="32">
        <f t="shared" si="5"/>
        <v>0.99766687716646052</v>
      </c>
      <c r="O10" s="32">
        <f t="shared" si="6"/>
        <v>0.99766687716646052</v>
      </c>
    </row>
    <row r="11" spans="1:15" x14ac:dyDescent="0.25">
      <c r="A11" s="25" t="s">
        <v>61</v>
      </c>
      <c r="B11" s="1"/>
      <c r="C11" s="1" t="s">
        <v>62</v>
      </c>
      <c r="D11" s="24"/>
      <c r="E11" s="24"/>
      <c r="F11" s="28">
        <f t="shared" si="0"/>
        <v>0</v>
      </c>
      <c r="G11" s="24">
        <v>43.7</v>
      </c>
      <c r="H11" s="24">
        <v>43.7</v>
      </c>
      <c r="I11" s="28">
        <f t="shared" si="1"/>
        <v>0</v>
      </c>
      <c r="J11" s="5">
        <v>43.6</v>
      </c>
      <c r="K11" s="24">
        <f t="shared" si="2"/>
        <v>43.6</v>
      </c>
      <c r="L11" s="24">
        <f t="shared" si="3"/>
        <v>-0.10000000000000142</v>
      </c>
      <c r="M11" s="32"/>
      <c r="N11" s="32">
        <f t="shared" si="5"/>
        <v>0.99771167048054921</v>
      </c>
      <c r="O11" s="32">
        <f t="shared" si="6"/>
        <v>0.99771167048054921</v>
      </c>
    </row>
    <row r="12" spans="1:15" ht="48" x14ac:dyDescent="0.25">
      <c r="A12" s="25" t="s">
        <v>64</v>
      </c>
      <c r="B12" s="1"/>
      <c r="C12" s="1" t="s">
        <v>63</v>
      </c>
      <c r="D12" s="24">
        <v>24555</v>
      </c>
      <c r="E12" s="24">
        <v>24555</v>
      </c>
      <c r="F12" s="28">
        <f t="shared" si="0"/>
        <v>0</v>
      </c>
      <c r="G12" s="24">
        <v>27960.400000000001</v>
      </c>
      <c r="H12" s="24">
        <f>3022.8+24937.6</f>
        <v>27960.399999999998</v>
      </c>
      <c r="I12" s="28">
        <f t="shared" si="1"/>
        <v>0</v>
      </c>
      <c r="J12" s="5">
        <v>27959.7</v>
      </c>
      <c r="K12" s="24">
        <f t="shared" si="2"/>
        <v>3404.7000000000007</v>
      </c>
      <c r="L12" s="24">
        <f t="shared" si="3"/>
        <v>-0.69999999999708962</v>
      </c>
      <c r="M12" s="32">
        <f t="shared" si="4"/>
        <v>1.1386560781918142</v>
      </c>
      <c r="N12" s="32">
        <f t="shared" si="5"/>
        <v>0.99997496459278123</v>
      </c>
      <c r="O12" s="32">
        <f t="shared" si="6"/>
        <v>0.99997496459278135</v>
      </c>
    </row>
    <row r="13" spans="1:15" ht="24" x14ac:dyDescent="0.25">
      <c r="A13" s="25" t="s">
        <v>65</v>
      </c>
      <c r="B13" s="1"/>
      <c r="C13" s="1" t="s">
        <v>66</v>
      </c>
      <c r="D13" s="24">
        <v>2000</v>
      </c>
      <c r="E13" s="24">
        <v>2000</v>
      </c>
      <c r="F13" s="28">
        <f t="shared" si="0"/>
        <v>0</v>
      </c>
      <c r="G13" s="24">
        <v>2320</v>
      </c>
      <c r="H13" s="24">
        <v>2320</v>
      </c>
      <c r="I13" s="28">
        <f t="shared" si="1"/>
        <v>0</v>
      </c>
      <c r="J13" s="5">
        <v>2320</v>
      </c>
      <c r="K13" s="24">
        <f t="shared" si="2"/>
        <v>320</v>
      </c>
      <c r="L13" s="24">
        <f t="shared" si="3"/>
        <v>0</v>
      </c>
      <c r="M13" s="32">
        <f t="shared" si="4"/>
        <v>1.1599999999999999</v>
      </c>
      <c r="N13" s="32">
        <f t="shared" si="5"/>
        <v>1</v>
      </c>
      <c r="O13" s="32">
        <f t="shared" si="6"/>
        <v>1</v>
      </c>
    </row>
    <row r="14" spans="1:15" x14ac:dyDescent="0.25">
      <c r="A14" s="25"/>
      <c r="B14" s="1"/>
      <c r="C14" s="1">
        <v>11</v>
      </c>
      <c r="D14" s="24">
        <v>1000</v>
      </c>
      <c r="E14" s="24">
        <v>1000</v>
      </c>
      <c r="F14" s="28">
        <f t="shared" si="0"/>
        <v>0</v>
      </c>
      <c r="G14" s="24">
        <v>924</v>
      </c>
      <c r="H14" s="24">
        <v>924</v>
      </c>
      <c r="I14" s="28">
        <f t="shared" si="1"/>
        <v>0</v>
      </c>
      <c r="J14" s="5"/>
      <c r="K14" s="24">
        <f t="shared" si="2"/>
        <v>-1000</v>
      </c>
      <c r="L14" s="24">
        <f t="shared" si="3"/>
        <v>-924</v>
      </c>
      <c r="M14" s="32">
        <f t="shared" si="4"/>
        <v>0</v>
      </c>
      <c r="N14" s="32">
        <f t="shared" si="5"/>
        <v>0</v>
      </c>
      <c r="O14" s="32">
        <f t="shared" si="6"/>
        <v>0</v>
      </c>
    </row>
    <row r="15" spans="1:15" ht="24" x14ac:dyDescent="0.25">
      <c r="A15" s="25" t="s">
        <v>67</v>
      </c>
      <c r="B15" s="1"/>
      <c r="C15" s="1">
        <v>13</v>
      </c>
      <c r="D15" s="24">
        <v>33411</v>
      </c>
      <c r="E15" s="24">
        <v>33411</v>
      </c>
      <c r="F15" s="28">
        <f t="shared" si="0"/>
        <v>0</v>
      </c>
      <c r="G15" s="24">
        <v>38667.5</v>
      </c>
      <c r="H15" s="24">
        <f>857.5+30731.1+5979.9+20+1079</f>
        <v>38667.5</v>
      </c>
      <c r="I15" s="28">
        <f t="shared" si="1"/>
        <v>0</v>
      </c>
      <c r="J15" s="5">
        <v>38344.699999999997</v>
      </c>
      <c r="K15" s="24">
        <f t="shared" si="2"/>
        <v>4933.6999999999971</v>
      </c>
      <c r="L15" s="24">
        <f t="shared" si="3"/>
        <v>-322.80000000000291</v>
      </c>
      <c r="M15" s="32">
        <f t="shared" si="4"/>
        <v>1.147666936039029</v>
      </c>
      <c r="N15" s="32">
        <f t="shared" si="5"/>
        <v>0.99165190405379189</v>
      </c>
      <c r="O15" s="32">
        <f t="shared" si="6"/>
        <v>0.99165190405379189</v>
      </c>
    </row>
    <row r="16" spans="1:15" x14ac:dyDescent="0.25">
      <c r="A16" s="26" t="s">
        <v>68</v>
      </c>
      <c r="B16" s="23" t="s">
        <v>56</v>
      </c>
      <c r="C16" s="5"/>
      <c r="D16" s="28">
        <f>D17</f>
        <v>3722</v>
      </c>
      <c r="E16" s="28">
        <v>3722</v>
      </c>
      <c r="F16" s="28">
        <f t="shared" si="0"/>
        <v>0</v>
      </c>
      <c r="G16" s="28">
        <v>4778</v>
      </c>
      <c r="H16" s="28">
        <v>4778</v>
      </c>
      <c r="I16" s="28">
        <f t="shared" si="1"/>
        <v>0</v>
      </c>
      <c r="J16" s="23">
        <v>4778</v>
      </c>
      <c r="K16" s="28">
        <f t="shared" si="2"/>
        <v>1056</v>
      </c>
      <c r="L16" s="28">
        <f t="shared" si="3"/>
        <v>0</v>
      </c>
      <c r="M16" s="31">
        <f t="shared" si="4"/>
        <v>1.2837184309511016</v>
      </c>
      <c r="N16" s="31">
        <f t="shared" si="5"/>
        <v>1</v>
      </c>
      <c r="O16" s="31">
        <f t="shared" si="6"/>
        <v>1</v>
      </c>
    </row>
    <row r="17" spans="1:15" ht="24" x14ac:dyDescent="0.25">
      <c r="A17" s="25" t="s">
        <v>69</v>
      </c>
      <c r="B17" s="1"/>
      <c r="C17" s="1" t="s">
        <v>58</v>
      </c>
      <c r="D17" s="24">
        <v>3722</v>
      </c>
      <c r="E17" s="24">
        <v>3722</v>
      </c>
      <c r="F17" s="28">
        <f t="shared" si="0"/>
        <v>0</v>
      </c>
      <c r="G17" s="24">
        <v>4778</v>
      </c>
      <c r="H17" s="24">
        <v>4778</v>
      </c>
      <c r="I17" s="28">
        <f t="shared" si="1"/>
        <v>0</v>
      </c>
      <c r="J17" s="5">
        <v>4778</v>
      </c>
      <c r="K17" s="24">
        <f t="shared" si="2"/>
        <v>1056</v>
      </c>
      <c r="L17" s="24">
        <f t="shared" si="3"/>
        <v>0</v>
      </c>
      <c r="M17" s="32">
        <f t="shared" si="4"/>
        <v>1.2837184309511016</v>
      </c>
      <c r="N17" s="32">
        <f t="shared" si="5"/>
        <v>1</v>
      </c>
      <c r="O17" s="32">
        <f t="shared" si="6"/>
        <v>1</v>
      </c>
    </row>
    <row r="18" spans="1:15" ht="25.5" x14ac:dyDescent="0.25">
      <c r="A18" s="26" t="s">
        <v>70</v>
      </c>
      <c r="B18" s="23" t="s">
        <v>58</v>
      </c>
      <c r="C18" s="1"/>
      <c r="D18" s="28">
        <f>D19+D20</f>
        <v>102318</v>
      </c>
      <c r="E18" s="28">
        <v>102318</v>
      </c>
      <c r="F18" s="28">
        <f t="shared" si="0"/>
        <v>0</v>
      </c>
      <c r="G18" s="28">
        <v>113171.9</v>
      </c>
      <c r="H18" s="28">
        <v>113171.9</v>
      </c>
      <c r="I18" s="28">
        <f t="shared" si="1"/>
        <v>0</v>
      </c>
      <c r="J18" s="23">
        <v>113073.1</v>
      </c>
      <c r="K18" s="28">
        <f t="shared" si="2"/>
        <v>10755.100000000006</v>
      </c>
      <c r="L18" s="28">
        <f t="shared" si="3"/>
        <v>-98.799999999988358</v>
      </c>
      <c r="M18" s="31">
        <f t="shared" si="4"/>
        <v>1.1051144471158545</v>
      </c>
      <c r="N18" s="31">
        <f t="shared" si="5"/>
        <v>0.99912699177092557</v>
      </c>
      <c r="O18" s="31">
        <f t="shared" si="6"/>
        <v>0.99912699177092557</v>
      </c>
    </row>
    <row r="19" spans="1:15" x14ac:dyDescent="0.25">
      <c r="A19" s="25" t="s">
        <v>71</v>
      </c>
      <c r="B19" s="1"/>
      <c r="C19" s="1" t="s">
        <v>56</v>
      </c>
      <c r="D19" s="24">
        <v>102228</v>
      </c>
      <c r="E19" s="24">
        <v>102228</v>
      </c>
      <c r="F19" s="28">
        <f t="shared" si="0"/>
        <v>0</v>
      </c>
      <c r="G19" s="24">
        <v>98893</v>
      </c>
      <c r="H19" s="24">
        <v>98893</v>
      </c>
      <c r="I19" s="28">
        <f t="shared" si="1"/>
        <v>0</v>
      </c>
      <c r="J19" s="5">
        <v>98836.3</v>
      </c>
      <c r="K19" s="24">
        <f t="shared" si="2"/>
        <v>-3391.6999999999971</v>
      </c>
      <c r="L19" s="24">
        <f t="shared" si="3"/>
        <v>-56.69999999999709</v>
      </c>
      <c r="M19" s="32">
        <f t="shared" si="4"/>
        <v>0.96682220135383656</v>
      </c>
      <c r="N19" s="32">
        <f t="shared" si="5"/>
        <v>0.99942665304925526</v>
      </c>
      <c r="O19" s="32">
        <f t="shared" si="6"/>
        <v>0.99942665304925526</v>
      </c>
    </row>
    <row r="20" spans="1:15" ht="48" x14ac:dyDescent="0.25">
      <c r="A20" s="25" t="s">
        <v>72</v>
      </c>
      <c r="B20" s="1"/>
      <c r="C20" s="1" t="s">
        <v>73</v>
      </c>
      <c r="D20" s="24">
        <v>90</v>
      </c>
      <c r="E20" s="24">
        <v>90</v>
      </c>
      <c r="F20" s="28">
        <f t="shared" si="0"/>
        <v>0</v>
      </c>
      <c r="G20" s="24">
        <v>166.5</v>
      </c>
      <c r="H20" s="24">
        <f>146.5+20</f>
        <v>166.5</v>
      </c>
      <c r="I20" s="28">
        <f t="shared" si="1"/>
        <v>0</v>
      </c>
      <c r="J20" s="5">
        <v>164.9</v>
      </c>
      <c r="K20" s="24">
        <f t="shared" si="2"/>
        <v>74.900000000000006</v>
      </c>
      <c r="L20" s="24">
        <f t="shared" si="3"/>
        <v>-1.5999999999999943</v>
      </c>
      <c r="M20" s="32">
        <f t="shared" si="4"/>
        <v>1.8322222222222222</v>
      </c>
      <c r="N20" s="32">
        <f t="shared" si="5"/>
        <v>0.99039039039039045</v>
      </c>
      <c r="O20" s="32">
        <f t="shared" si="6"/>
        <v>0.99039039039039045</v>
      </c>
    </row>
    <row r="21" spans="1:15" ht="36" x14ac:dyDescent="0.25">
      <c r="A21" s="25" t="s">
        <v>74</v>
      </c>
      <c r="B21" s="1"/>
      <c r="C21" s="1">
        <v>14</v>
      </c>
      <c r="D21" s="24"/>
      <c r="E21" s="24"/>
      <c r="F21" s="28">
        <f t="shared" si="0"/>
        <v>0</v>
      </c>
      <c r="G21" s="24">
        <v>14112.4</v>
      </c>
      <c r="H21" s="24">
        <f>268+3300+2568.4+7976</f>
        <v>14112.4</v>
      </c>
      <c r="I21" s="28">
        <f t="shared" si="1"/>
        <v>0</v>
      </c>
      <c r="J21" s="5">
        <v>14071.9</v>
      </c>
      <c r="K21" s="24">
        <f t="shared" si="2"/>
        <v>14071.9</v>
      </c>
      <c r="L21" s="24">
        <f t="shared" si="3"/>
        <v>-40.5</v>
      </c>
      <c r="M21" s="32"/>
      <c r="N21" s="32">
        <f t="shared" si="5"/>
        <v>0.99713018338482473</v>
      </c>
      <c r="O21" s="32">
        <f t="shared" si="6"/>
        <v>0.99713018338482473</v>
      </c>
    </row>
    <row r="22" spans="1:15" x14ac:dyDescent="0.25">
      <c r="A22" s="26" t="s">
        <v>75</v>
      </c>
      <c r="B22" s="23" t="s">
        <v>60</v>
      </c>
      <c r="C22" s="23"/>
      <c r="D22" s="28">
        <f>D23+D24+D25+D26+D27+D28+D29</f>
        <v>65296.5</v>
      </c>
      <c r="E22" s="28">
        <v>65296.5</v>
      </c>
      <c r="F22" s="28">
        <f t="shared" si="0"/>
        <v>0</v>
      </c>
      <c r="G22" s="28">
        <v>110663.7</v>
      </c>
      <c r="H22" s="28">
        <v>110751.1</v>
      </c>
      <c r="I22" s="28">
        <f t="shared" si="1"/>
        <v>87.400000000008731</v>
      </c>
      <c r="J22" s="23">
        <v>110433.4</v>
      </c>
      <c r="K22" s="28">
        <f t="shared" si="2"/>
        <v>45136.899999999994</v>
      </c>
      <c r="L22" s="28">
        <f t="shared" si="3"/>
        <v>-317.70000000001164</v>
      </c>
      <c r="M22" s="31">
        <f t="shared" si="4"/>
        <v>1.6912606341840679</v>
      </c>
      <c r="N22" s="31">
        <f t="shared" si="5"/>
        <v>0.99791892011562955</v>
      </c>
      <c r="O22" s="31">
        <f t="shared" si="6"/>
        <v>0.99713140546685308</v>
      </c>
    </row>
    <row r="23" spans="1:15" x14ac:dyDescent="0.25">
      <c r="A23" s="25" t="s">
        <v>76</v>
      </c>
      <c r="B23" s="1"/>
      <c r="C23" s="1" t="s">
        <v>54</v>
      </c>
      <c r="D23" s="24">
        <v>2000</v>
      </c>
      <c r="E23" s="24">
        <v>2000</v>
      </c>
      <c r="F23" s="28">
        <f t="shared" si="0"/>
        <v>0</v>
      </c>
      <c r="G23" s="24">
        <v>2120.9</v>
      </c>
      <c r="H23" s="24">
        <f>120.9+2000</f>
        <v>2120.9</v>
      </c>
      <c r="I23" s="28">
        <f t="shared" si="1"/>
        <v>0</v>
      </c>
      <c r="J23" s="5">
        <v>2120.3000000000002</v>
      </c>
      <c r="K23" s="24">
        <f t="shared" si="2"/>
        <v>120.30000000000018</v>
      </c>
      <c r="L23" s="24">
        <f t="shared" si="3"/>
        <v>-0.59999999999990905</v>
      </c>
      <c r="M23" s="32">
        <f t="shared" si="4"/>
        <v>1.0601500000000001</v>
      </c>
      <c r="N23" s="32">
        <f t="shared" si="5"/>
        <v>0.99971710123060964</v>
      </c>
      <c r="O23" s="32">
        <f t="shared" si="6"/>
        <v>0.99971710123060964</v>
      </c>
    </row>
    <row r="24" spans="1:15" ht="24" x14ac:dyDescent="0.25">
      <c r="A24" s="25" t="s">
        <v>77</v>
      </c>
      <c r="B24" s="1"/>
      <c r="C24" s="1" t="s">
        <v>62</v>
      </c>
      <c r="D24" s="24">
        <v>31579.7</v>
      </c>
      <c r="E24" s="24">
        <v>31579.7</v>
      </c>
      <c r="F24" s="28">
        <f t="shared" si="0"/>
        <v>0</v>
      </c>
      <c r="G24" s="24">
        <v>61094.6</v>
      </c>
      <c r="H24" s="24">
        <v>61094.6</v>
      </c>
      <c r="I24" s="28">
        <f t="shared" si="1"/>
        <v>0</v>
      </c>
      <c r="J24" s="5">
        <v>61086.9</v>
      </c>
      <c r="K24" s="24">
        <f t="shared" si="2"/>
        <v>29507.200000000001</v>
      </c>
      <c r="L24" s="24">
        <f t="shared" si="3"/>
        <v>-7.6999999999970896</v>
      </c>
      <c r="M24" s="32">
        <f t="shared" si="4"/>
        <v>1.9343723974578606</v>
      </c>
      <c r="N24" s="32">
        <f t="shared" si="5"/>
        <v>0.99987396594789069</v>
      </c>
      <c r="O24" s="32">
        <f t="shared" si="6"/>
        <v>0.99987396594789069</v>
      </c>
    </row>
    <row r="25" spans="1:15" x14ac:dyDescent="0.25">
      <c r="A25" s="25" t="s">
        <v>78</v>
      </c>
      <c r="B25" s="1"/>
      <c r="C25" s="1" t="s">
        <v>66</v>
      </c>
      <c r="D25" s="24">
        <v>10648</v>
      </c>
      <c r="E25" s="24">
        <v>10648</v>
      </c>
      <c r="F25" s="28">
        <f t="shared" si="0"/>
        <v>0</v>
      </c>
      <c r="G25" s="24">
        <v>12538.2</v>
      </c>
      <c r="H25" s="30">
        <v>12538.2</v>
      </c>
      <c r="I25" s="28">
        <f t="shared" si="1"/>
        <v>0</v>
      </c>
      <c r="J25" s="5">
        <v>12537.3</v>
      </c>
      <c r="K25" s="24">
        <f t="shared" si="2"/>
        <v>1889.2999999999993</v>
      </c>
      <c r="L25" s="24">
        <f t="shared" si="3"/>
        <v>-0.90000000000145519</v>
      </c>
      <c r="M25" s="32">
        <f t="shared" si="4"/>
        <v>1.1774323816679189</v>
      </c>
      <c r="N25" s="32">
        <f t="shared" si="5"/>
        <v>0.99992821936163079</v>
      </c>
      <c r="O25" s="32">
        <f t="shared" si="6"/>
        <v>0.99992821936163079</v>
      </c>
    </row>
    <row r="26" spans="1:15" x14ac:dyDescent="0.25">
      <c r="A26" s="25" t="s">
        <v>79</v>
      </c>
      <c r="B26" s="1"/>
      <c r="C26" s="1" t="s">
        <v>80</v>
      </c>
      <c r="D26" s="24">
        <v>11745</v>
      </c>
      <c r="E26" s="24">
        <v>11745</v>
      </c>
      <c r="F26" s="28">
        <f t="shared" si="0"/>
        <v>0</v>
      </c>
      <c r="G26" s="24">
        <v>11745</v>
      </c>
      <c r="H26" s="24">
        <v>11745</v>
      </c>
      <c r="I26" s="28">
        <f t="shared" si="1"/>
        <v>0</v>
      </c>
      <c r="J26" s="5">
        <v>11745</v>
      </c>
      <c r="K26" s="24">
        <f t="shared" si="2"/>
        <v>0</v>
      </c>
      <c r="L26" s="24">
        <f t="shared" si="3"/>
        <v>0</v>
      </c>
      <c r="M26" s="32">
        <f t="shared" si="4"/>
        <v>1</v>
      </c>
      <c r="N26" s="32">
        <f t="shared" si="5"/>
        <v>1</v>
      </c>
      <c r="O26" s="32">
        <f t="shared" si="6"/>
        <v>1</v>
      </c>
    </row>
    <row r="27" spans="1:15" ht="24" x14ac:dyDescent="0.25">
      <c r="A27" s="25" t="s">
        <v>81</v>
      </c>
      <c r="B27" s="1"/>
      <c r="C27" s="1" t="s">
        <v>73</v>
      </c>
      <c r="D27" s="24">
        <v>3232.8</v>
      </c>
      <c r="E27" s="24">
        <v>3232.8</v>
      </c>
      <c r="F27" s="28">
        <f t="shared" si="0"/>
        <v>0</v>
      </c>
      <c r="G27" s="24">
        <v>1456.4</v>
      </c>
      <c r="H27" s="24">
        <v>1456.4</v>
      </c>
      <c r="I27" s="28">
        <f t="shared" si="1"/>
        <v>0</v>
      </c>
      <c r="J27" s="5">
        <v>1456.4</v>
      </c>
      <c r="K27" s="24">
        <f t="shared" si="2"/>
        <v>-1776.4</v>
      </c>
      <c r="L27" s="24">
        <f t="shared" si="3"/>
        <v>0</v>
      </c>
      <c r="M27" s="32">
        <f t="shared" si="4"/>
        <v>0.45050730017322443</v>
      </c>
      <c r="N27" s="32">
        <f t="shared" si="5"/>
        <v>1</v>
      </c>
      <c r="O27" s="32">
        <f t="shared" si="6"/>
        <v>1</v>
      </c>
    </row>
    <row r="28" spans="1:15" x14ac:dyDescent="0.25">
      <c r="A28" s="25" t="s">
        <v>82</v>
      </c>
      <c r="B28" s="1"/>
      <c r="C28" s="1">
        <v>10</v>
      </c>
      <c r="D28" s="24">
        <v>4361</v>
      </c>
      <c r="E28" s="24">
        <v>4361</v>
      </c>
      <c r="F28" s="28">
        <f t="shared" si="0"/>
        <v>0</v>
      </c>
      <c r="G28" s="24">
        <v>8007.6</v>
      </c>
      <c r="H28" s="24">
        <f>36.8+5240.4+2655.3+75.1</f>
        <v>8007.6</v>
      </c>
      <c r="I28" s="28">
        <f t="shared" si="1"/>
        <v>0</v>
      </c>
      <c r="J28" s="5">
        <v>7981.9</v>
      </c>
      <c r="K28" s="24">
        <f t="shared" si="2"/>
        <v>3620.8999999999996</v>
      </c>
      <c r="L28" s="24">
        <f t="shared" si="3"/>
        <v>-25.700000000000728</v>
      </c>
      <c r="M28" s="32">
        <f t="shared" si="4"/>
        <v>1.8302912176106396</v>
      </c>
      <c r="N28" s="32">
        <f t="shared" si="5"/>
        <v>0.99679054897847041</v>
      </c>
      <c r="O28" s="32">
        <f t="shared" si="6"/>
        <v>0.99679054897847041</v>
      </c>
    </row>
    <row r="29" spans="1:15" ht="24" x14ac:dyDescent="0.25">
      <c r="A29" s="25" t="s">
        <v>83</v>
      </c>
      <c r="B29" s="1"/>
      <c r="C29" s="1">
        <v>12</v>
      </c>
      <c r="D29" s="24">
        <v>1730</v>
      </c>
      <c r="E29" s="24">
        <v>1730</v>
      </c>
      <c r="F29" s="28">
        <f t="shared" si="0"/>
        <v>0</v>
      </c>
      <c r="G29" s="24">
        <v>13701</v>
      </c>
      <c r="H29" s="24">
        <f>2666.5+10370+154+234.4+276+87.5</f>
        <v>13788.4</v>
      </c>
      <c r="I29" s="24">
        <f t="shared" si="1"/>
        <v>87.399999999999636</v>
      </c>
      <c r="J29" s="5">
        <v>13505.6</v>
      </c>
      <c r="K29" s="24">
        <f t="shared" si="2"/>
        <v>11775.6</v>
      </c>
      <c r="L29" s="24">
        <f t="shared" si="3"/>
        <v>-282.79999999999927</v>
      </c>
      <c r="M29" s="32">
        <f t="shared" si="4"/>
        <v>7.8067052023121386</v>
      </c>
      <c r="N29" s="32">
        <f t="shared" si="5"/>
        <v>0.98573826727976066</v>
      </c>
      <c r="O29" s="32">
        <f t="shared" si="6"/>
        <v>0.97949000609207748</v>
      </c>
    </row>
    <row r="30" spans="1:15" ht="24" x14ac:dyDescent="0.25">
      <c r="A30" s="27" t="s">
        <v>84</v>
      </c>
      <c r="B30" s="7" t="s">
        <v>62</v>
      </c>
      <c r="C30" s="7"/>
      <c r="D30" s="28">
        <f>D31+D32+D33</f>
        <v>157632.6</v>
      </c>
      <c r="E30" s="28">
        <v>157632.6</v>
      </c>
      <c r="F30" s="28">
        <f t="shared" si="0"/>
        <v>0</v>
      </c>
      <c r="G30" s="28">
        <v>1894623.1</v>
      </c>
      <c r="H30" s="28">
        <v>1894623.1</v>
      </c>
      <c r="I30" s="28">
        <f t="shared" si="1"/>
        <v>0</v>
      </c>
      <c r="J30" s="23">
        <v>1407664</v>
      </c>
      <c r="K30" s="28">
        <f t="shared" si="2"/>
        <v>1250031.3999999999</v>
      </c>
      <c r="L30" s="28">
        <f t="shared" si="3"/>
        <v>-486959.10000000009</v>
      </c>
      <c r="M30" s="31">
        <f t="shared" si="4"/>
        <v>8.9300309707509733</v>
      </c>
      <c r="N30" s="31">
        <f t="shared" si="5"/>
        <v>0.74297837918264586</v>
      </c>
      <c r="O30" s="31">
        <f t="shared" si="6"/>
        <v>0.74297837918264586</v>
      </c>
    </row>
    <row r="31" spans="1:15" x14ac:dyDescent="0.25">
      <c r="A31" s="25" t="s">
        <v>85</v>
      </c>
      <c r="B31" s="1"/>
      <c r="C31" s="1" t="s">
        <v>54</v>
      </c>
      <c r="D31" s="24">
        <v>37389.300000000003</v>
      </c>
      <c r="E31" s="24">
        <v>37389.300000000003</v>
      </c>
      <c r="F31" s="28">
        <f t="shared" si="0"/>
        <v>0</v>
      </c>
      <c r="G31" s="24">
        <v>1382198.6</v>
      </c>
      <c r="H31" s="24">
        <f>1103485.9+278712.7</f>
        <v>1382198.5999999999</v>
      </c>
      <c r="I31" s="28">
        <f t="shared" si="1"/>
        <v>0</v>
      </c>
      <c r="J31" s="5">
        <v>1005100.1</v>
      </c>
      <c r="K31" s="24">
        <f t="shared" si="2"/>
        <v>967710.79999999993</v>
      </c>
      <c r="L31" s="24">
        <f t="shared" si="3"/>
        <v>-377098.49999999988</v>
      </c>
      <c r="M31" s="32">
        <f t="shared" si="4"/>
        <v>26.882025071343939</v>
      </c>
      <c r="N31" s="32">
        <f t="shared" si="5"/>
        <v>0.72717487921055624</v>
      </c>
      <c r="O31" s="32">
        <f t="shared" si="6"/>
        <v>0.72717487921055635</v>
      </c>
    </row>
    <row r="32" spans="1:15" x14ac:dyDescent="0.25">
      <c r="A32" s="25" t="s">
        <v>86</v>
      </c>
      <c r="B32" s="1"/>
      <c r="C32" s="1" t="s">
        <v>56</v>
      </c>
      <c r="D32" s="24">
        <v>19531.599999999999</v>
      </c>
      <c r="E32" s="24">
        <v>19531.599999999999</v>
      </c>
      <c r="F32" s="28">
        <f t="shared" si="0"/>
        <v>0</v>
      </c>
      <c r="G32" s="24">
        <v>316872.2</v>
      </c>
      <c r="H32" s="24">
        <v>316872.2</v>
      </c>
      <c r="I32" s="28">
        <f t="shared" si="1"/>
        <v>0</v>
      </c>
      <c r="J32" s="5">
        <v>207870.9</v>
      </c>
      <c r="K32" s="24">
        <f t="shared" si="2"/>
        <v>188339.3</v>
      </c>
      <c r="L32" s="24">
        <f t="shared" si="3"/>
        <v>-109001.30000000002</v>
      </c>
      <c r="M32" s="32">
        <f t="shared" si="4"/>
        <v>10.642799361035451</v>
      </c>
      <c r="N32" s="32">
        <f t="shared" si="5"/>
        <v>0.65600863692049982</v>
      </c>
      <c r="O32" s="32">
        <f t="shared" si="6"/>
        <v>0.65600863692049982</v>
      </c>
    </row>
    <row r="33" spans="1:15" x14ac:dyDescent="0.25">
      <c r="A33" s="25" t="s">
        <v>87</v>
      </c>
      <c r="B33" s="1"/>
      <c r="C33" s="1" t="s">
        <v>58</v>
      </c>
      <c r="D33" s="24">
        <v>100711.7</v>
      </c>
      <c r="E33" s="24">
        <v>100711.7</v>
      </c>
      <c r="F33" s="28">
        <f t="shared" si="0"/>
        <v>0</v>
      </c>
      <c r="G33" s="24">
        <v>194572.3</v>
      </c>
      <c r="H33" s="24">
        <f>3650+190922.3</f>
        <v>194572.3</v>
      </c>
      <c r="I33" s="28">
        <f t="shared" si="1"/>
        <v>0</v>
      </c>
      <c r="J33" s="5">
        <v>193713</v>
      </c>
      <c r="K33" s="24">
        <f t="shared" si="2"/>
        <v>93001.3</v>
      </c>
      <c r="L33" s="24">
        <f t="shared" si="3"/>
        <v>-859.29999999998836</v>
      </c>
      <c r="M33" s="32">
        <f t="shared" si="4"/>
        <v>1.923440871318824</v>
      </c>
      <c r="N33" s="32">
        <f t="shared" si="5"/>
        <v>0.99558364679864508</v>
      </c>
      <c r="O33" s="32">
        <f t="shared" si="6"/>
        <v>0.99558364679864508</v>
      </c>
    </row>
    <row r="34" spans="1:15" x14ac:dyDescent="0.25">
      <c r="A34" s="25" t="s">
        <v>88</v>
      </c>
      <c r="B34" s="1"/>
      <c r="C34" s="1" t="s">
        <v>62</v>
      </c>
      <c r="D34" s="24"/>
      <c r="E34" s="24"/>
      <c r="F34" s="28">
        <f t="shared" si="0"/>
        <v>0</v>
      </c>
      <c r="G34" s="24">
        <v>980</v>
      </c>
      <c r="H34" s="24">
        <f>446.5+533.5</f>
        <v>980</v>
      </c>
      <c r="I34" s="28">
        <f t="shared" si="1"/>
        <v>0</v>
      </c>
      <c r="J34" s="5">
        <v>980</v>
      </c>
      <c r="K34" s="24">
        <f t="shared" si="2"/>
        <v>980</v>
      </c>
      <c r="L34" s="24">
        <f t="shared" si="3"/>
        <v>0</v>
      </c>
      <c r="M34" s="32"/>
      <c r="N34" s="32">
        <f t="shared" si="5"/>
        <v>1</v>
      </c>
      <c r="O34" s="32">
        <f t="shared" si="6"/>
        <v>1</v>
      </c>
    </row>
    <row r="35" spans="1:15" x14ac:dyDescent="0.25">
      <c r="A35" s="27" t="s">
        <v>89</v>
      </c>
      <c r="B35" s="7" t="s">
        <v>63</v>
      </c>
      <c r="C35" s="7"/>
      <c r="D35" s="28">
        <f>D36</f>
        <v>200</v>
      </c>
      <c r="E35" s="28">
        <v>200</v>
      </c>
      <c r="F35" s="28">
        <f t="shared" si="0"/>
        <v>0</v>
      </c>
      <c r="G35" s="28">
        <v>200</v>
      </c>
      <c r="H35" s="28">
        <v>200</v>
      </c>
      <c r="I35" s="28">
        <f t="shared" si="1"/>
        <v>0</v>
      </c>
      <c r="J35" s="23">
        <v>200</v>
      </c>
      <c r="K35" s="28">
        <f t="shared" si="2"/>
        <v>0</v>
      </c>
      <c r="L35" s="28">
        <f t="shared" si="3"/>
        <v>0</v>
      </c>
      <c r="M35" s="31">
        <f t="shared" si="4"/>
        <v>1</v>
      </c>
      <c r="N35" s="31">
        <f t="shared" si="5"/>
        <v>1</v>
      </c>
      <c r="O35" s="31">
        <f t="shared" si="6"/>
        <v>1</v>
      </c>
    </row>
    <row r="36" spans="1:15" ht="36" x14ac:dyDescent="0.25">
      <c r="A36" s="25" t="s">
        <v>90</v>
      </c>
      <c r="B36" s="1"/>
      <c r="C36" s="1" t="s">
        <v>58</v>
      </c>
      <c r="D36" s="24">
        <v>200</v>
      </c>
      <c r="E36" s="24">
        <v>200</v>
      </c>
      <c r="F36" s="28">
        <f t="shared" si="0"/>
        <v>0</v>
      </c>
      <c r="G36" s="24">
        <v>200</v>
      </c>
      <c r="H36" s="24">
        <f>157+28+15</f>
        <v>200</v>
      </c>
      <c r="I36" s="28">
        <f t="shared" si="1"/>
        <v>0</v>
      </c>
      <c r="J36" s="5">
        <v>200</v>
      </c>
      <c r="K36" s="24">
        <f t="shared" si="2"/>
        <v>0</v>
      </c>
      <c r="L36" s="24">
        <f t="shared" si="3"/>
        <v>0</v>
      </c>
      <c r="M36" s="32">
        <f t="shared" si="4"/>
        <v>1</v>
      </c>
      <c r="N36" s="32">
        <f t="shared" si="5"/>
        <v>1</v>
      </c>
      <c r="O36" s="32">
        <f t="shared" si="6"/>
        <v>1</v>
      </c>
    </row>
    <row r="37" spans="1:15" ht="21" customHeight="1" x14ac:dyDescent="0.25">
      <c r="A37" s="26" t="s">
        <v>91</v>
      </c>
      <c r="B37" s="7" t="s">
        <v>66</v>
      </c>
      <c r="C37" s="7"/>
      <c r="D37" s="28">
        <f>D38+D39+D40+D41</f>
        <v>924640.2</v>
      </c>
      <c r="E37" s="28">
        <v>924640.2</v>
      </c>
      <c r="F37" s="28">
        <f t="shared" si="0"/>
        <v>0</v>
      </c>
      <c r="G37" s="28">
        <v>1128694.3</v>
      </c>
      <c r="H37" s="28">
        <v>1128860</v>
      </c>
      <c r="I37" s="28">
        <f t="shared" si="1"/>
        <v>165.69999999995343</v>
      </c>
      <c r="J37" s="23">
        <v>1041256.2</v>
      </c>
      <c r="K37" s="28">
        <f t="shared" si="2"/>
        <v>116616</v>
      </c>
      <c r="L37" s="28">
        <f t="shared" si="3"/>
        <v>-87603.800000000047</v>
      </c>
      <c r="M37" s="31">
        <f t="shared" si="4"/>
        <v>1.1261204087817078</v>
      </c>
      <c r="N37" s="31">
        <f t="shared" si="5"/>
        <v>0.92253163677711481</v>
      </c>
      <c r="O37" s="31">
        <f t="shared" si="6"/>
        <v>0.92239622273798338</v>
      </c>
    </row>
    <row r="38" spans="1:15" x14ac:dyDescent="0.25">
      <c r="A38" s="25" t="s">
        <v>92</v>
      </c>
      <c r="B38" s="1"/>
      <c r="C38" s="1" t="s">
        <v>54</v>
      </c>
      <c r="D38" s="24">
        <v>128853.5</v>
      </c>
      <c r="E38" s="24">
        <v>128853.5</v>
      </c>
      <c r="F38" s="28">
        <f t="shared" si="0"/>
        <v>0</v>
      </c>
      <c r="G38" s="24">
        <v>180061.1</v>
      </c>
      <c r="H38" s="24">
        <f>109624.6+70436.5</f>
        <v>180061.1</v>
      </c>
      <c r="I38" s="28">
        <f t="shared" si="1"/>
        <v>0</v>
      </c>
      <c r="J38" s="5">
        <v>119076.2</v>
      </c>
      <c r="K38" s="24">
        <f t="shared" si="2"/>
        <v>-9777.3000000000029</v>
      </c>
      <c r="L38" s="24">
        <f t="shared" si="3"/>
        <v>-60984.900000000009</v>
      </c>
      <c r="M38" s="32">
        <f t="shared" si="4"/>
        <v>0.9241208038586457</v>
      </c>
      <c r="N38" s="32">
        <f t="shared" si="5"/>
        <v>0.66130996645027706</v>
      </c>
      <c r="O38" s="32">
        <f t="shared" si="6"/>
        <v>0.66130996645027706</v>
      </c>
    </row>
    <row r="39" spans="1:15" x14ac:dyDescent="0.25">
      <c r="A39" s="25" t="s">
        <v>93</v>
      </c>
      <c r="B39" s="1"/>
      <c r="C39" s="1" t="s">
        <v>56</v>
      </c>
      <c r="D39" s="24">
        <v>701996.6</v>
      </c>
      <c r="E39" s="24">
        <v>701996.6</v>
      </c>
      <c r="F39" s="28">
        <f t="shared" si="0"/>
        <v>0</v>
      </c>
      <c r="G39" s="24">
        <v>826686.4</v>
      </c>
      <c r="H39" s="24">
        <f>605742.7+22800.5+198143.2+165.7</f>
        <v>826852.09999999986</v>
      </c>
      <c r="I39" s="28">
        <f t="shared" si="1"/>
        <v>165.69999999983702</v>
      </c>
      <c r="J39" s="5">
        <v>800258.3</v>
      </c>
      <c r="K39" s="24">
        <f t="shared" si="2"/>
        <v>98261.70000000007</v>
      </c>
      <c r="L39" s="24">
        <f t="shared" si="3"/>
        <v>-26593.799999999814</v>
      </c>
      <c r="M39" s="32">
        <f t="shared" si="4"/>
        <v>1.1399746095636363</v>
      </c>
      <c r="N39" s="32">
        <f t="shared" si="5"/>
        <v>0.96803128731765764</v>
      </c>
      <c r="O39" s="32">
        <f t="shared" si="6"/>
        <v>0.96783729520672457</v>
      </c>
    </row>
    <row r="40" spans="1:15" ht="24" x14ac:dyDescent="0.25">
      <c r="A40" s="25" t="s">
        <v>94</v>
      </c>
      <c r="B40" s="1"/>
      <c r="C40" s="1" t="s">
        <v>66</v>
      </c>
      <c r="D40" s="24">
        <v>49918.1</v>
      </c>
      <c r="E40" s="24">
        <v>49918.1</v>
      </c>
      <c r="F40" s="28">
        <f t="shared" si="0"/>
        <v>0</v>
      </c>
      <c r="G40" s="24">
        <v>52484.1</v>
      </c>
      <c r="H40" s="24">
        <f>6609+18+45857.1</f>
        <v>52484.1</v>
      </c>
      <c r="I40" s="28">
        <f t="shared" si="1"/>
        <v>0</v>
      </c>
      <c r="J40" s="5">
        <v>52479.199999999997</v>
      </c>
      <c r="K40" s="24">
        <f t="shared" si="2"/>
        <v>2561.0999999999985</v>
      </c>
      <c r="L40" s="24">
        <f t="shared" si="3"/>
        <v>-4.9000000000014552</v>
      </c>
      <c r="M40" s="32">
        <f t="shared" si="4"/>
        <v>1.0513060392923608</v>
      </c>
      <c r="N40" s="32">
        <f t="shared" si="5"/>
        <v>0.99990663839143656</v>
      </c>
      <c r="O40" s="32">
        <f t="shared" si="6"/>
        <v>0.99990663839143656</v>
      </c>
    </row>
    <row r="41" spans="1:15" ht="24" x14ac:dyDescent="0.25">
      <c r="A41" s="25" t="s">
        <v>95</v>
      </c>
      <c r="B41" s="1"/>
      <c r="C41" s="1" t="s">
        <v>73</v>
      </c>
      <c r="D41" s="24">
        <v>43872</v>
      </c>
      <c r="E41" s="24">
        <v>43872</v>
      </c>
      <c r="F41" s="28">
        <f t="shared" si="0"/>
        <v>0</v>
      </c>
      <c r="G41" s="24">
        <v>69462.7</v>
      </c>
      <c r="H41" s="24">
        <f>51165.8+18296.9</f>
        <v>69462.700000000012</v>
      </c>
      <c r="I41" s="28">
        <f t="shared" si="1"/>
        <v>0</v>
      </c>
      <c r="J41" s="5">
        <v>69442.5</v>
      </c>
      <c r="K41" s="24">
        <f t="shared" si="2"/>
        <v>25570.5</v>
      </c>
      <c r="L41" s="24">
        <f t="shared" si="3"/>
        <v>-20.200000000011642</v>
      </c>
      <c r="M41" s="32">
        <f t="shared" si="4"/>
        <v>1.5828432713347922</v>
      </c>
      <c r="N41" s="32">
        <f t="shared" si="5"/>
        <v>0.99970919644643819</v>
      </c>
      <c r="O41" s="32">
        <f t="shared" si="6"/>
        <v>0.99970919644643796</v>
      </c>
    </row>
    <row r="42" spans="1:15" ht="21" customHeight="1" x14ac:dyDescent="0.25">
      <c r="A42" s="26" t="s">
        <v>96</v>
      </c>
      <c r="B42" s="7" t="s">
        <v>80</v>
      </c>
      <c r="C42" s="7"/>
      <c r="D42" s="28">
        <f>D43+D44</f>
        <v>99727.7</v>
      </c>
      <c r="E42" s="28">
        <v>99727.7</v>
      </c>
      <c r="F42" s="28">
        <f t="shared" si="0"/>
        <v>0</v>
      </c>
      <c r="G42" s="28">
        <v>113754.2</v>
      </c>
      <c r="H42" s="28">
        <v>113754.2</v>
      </c>
      <c r="I42" s="28">
        <f t="shared" si="1"/>
        <v>0</v>
      </c>
      <c r="J42" s="23">
        <v>113694.2</v>
      </c>
      <c r="K42" s="28">
        <f t="shared" si="2"/>
        <v>13966.5</v>
      </c>
      <c r="L42" s="28">
        <f t="shared" si="3"/>
        <v>-60</v>
      </c>
      <c r="M42" s="31">
        <f t="shared" si="4"/>
        <v>1.1400463462007044</v>
      </c>
      <c r="N42" s="31">
        <f t="shared" si="5"/>
        <v>0.99947254694771714</v>
      </c>
      <c r="O42" s="31">
        <f t="shared" si="6"/>
        <v>0.99947254694771714</v>
      </c>
    </row>
    <row r="43" spans="1:15" ht="24" customHeight="1" x14ac:dyDescent="0.25">
      <c r="A43" s="25" t="s">
        <v>97</v>
      </c>
      <c r="B43" s="1"/>
      <c r="C43" s="1" t="s">
        <v>54</v>
      </c>
      <c r="D43" s="24">
        <v>87321.7</v>
      </c>
      <c r="E43" s="24">
        <v>87321.7</v>
      </c>
      <c r="F43" s="28">
        <f t="shared" si="0"/>
        <v>0</v>
      </c>
      <c r="G43" s="24">
        <v>98174.2</v>
      </c>
      <c r="H43" s="24">
        <f>97574.2+600</f>
        <v>98174.2</v>
      </c>
      <c r="I43" s="28">
        <f t="shared" si="1"/>
        <v>0</v>
      </c>
      <c r="J43" s="5">
        <v>98114.3</v>
      </c>
      <c r="K43" s="24">
        <f t="shared" si="2"/>
        <v>10792.600000000006</v>
      </c>
      <c r="L43" s="24">
        <f t="shared" si="3"/>
        <v>-59.899999999994179</v>
      </c>
      <c r="M43" s="32">
        <f t="shared" si="4"/>
        <v>1.1235958530353853</v>
      </c>
      <c r="N43" s="32">
        <f t="shared" si="5"/>
        <v>0.99938986006506803</v>
      </c>
      <c r="O43" s="32">
        <f t="shared" si="6"/>
        <v>0.99938986006506803</v>
      </c>
    </row>
    <row r="44" spans="1:15" ht="30.75" customHeight="1" x14ac:dyDescent="0.25">
      <c r="A44" s="25" t="s">
        <v>98</v>
      </c>
      <c r="B44" s="1"/>
      <c r="C44" s="1" t="s">
        <v>60</v>
      </c>
      <c r="D44" s="24">
        <v>12406</v>
      </c>
      <c r="E44" s="24">
        <v>12406</v>
      </c>
      <c r="F44" s="28">
        <f t="shared" si="0"/>
        <v>0</v>
      </c>
      <c r="G44" s="24">
        <v>15580</v>
      </c>
      <c r="H44" s="24">
        <v>15580</v>
      </c>
      <c r="I44" s="28">
        <f t="shared" si="1"/>
        <v>0</v>
      </c>
      <c r="J44" s="5">
        <v>15579.9</v>
      </c>
      <c r="K44" s="24">
        <f t="shared" si="2"/>
        <v>3173.8999999999996</v>
      </c>
      <c r="L44" s="24">
        <f t="shared" si="3"/>
        <v>-0.1000000000003638</v>
      </c>
      <c r="M44" s="32">
        <f t="shared" si="4"/>
        <v>1.2558358858616798</v>
      </c>
      <c r="N44" s="32">
        <f t="shared" si="5"/>
        <v>0.99999358151476248</v>
      </c>
      <c r="O44" s="32">
        <f t="shared" si="6"/>
        <v>0.99999358151476248</v>
      </c>
    </row>
    <row r="45" spans="1:15" x14ac:dyDescent="0.25">
      <c r="A45" s="26" t="s">
        <v>99</v>
      </c>
      <c r="B45" s="23" t="s">
        <v>73</v>
      </c>
      <c r="C45" s="23"/>
      <c r="D45" s="28">
        <f>D46+D47+D48+D49+D50+D51</f>
        <v>238583.6</v>
      </c>
      <c r="E45" s="28">
        <v>238583.6</v>
      </c>
      <c r="F45" s="28">
        <f t="shared" si="0"/>
        <v>0</v>
      </c>
      <c r="G45" s="28">
        <v>279033.5</v>
      </c>
      <c r="H45" s="28">
        <v>279033.5</v>
      </c>
      <c r="I45" s="28">
        <f t="shared" si="1"/>
        <v>0</v>
      </c>
      <c r="J45" s="23">
        <v>258857.2</v>
      </c>
      <c r="K45" s="28">
        <f t="shared" si="2"/>
        <v>20273.600000000006</v>
      </c>
      <c r="L45" s="28">
        <f t="shared" si="3"/>
        <v>-20176.299999999988</v>
      </c>
      <c r="M45" s="31">
        <f t="shared" si="4"/>
        <v>1.0849748264340047</v>
      </c>
      <c r="N45" s="31">
        <f t="shared" si="5"/>
        <v>0.92769219466479835</v>
      </c>
      <c r="O45" s="31">
        <f t="shared" si="6"/>
        <v>0.92769219466479835</v>
      </c>
    </row>
    <row r="46" spans="1:15" ht="24" x14ac:dyDescent="0.25">
      <c r="A46" s="25" t="s">
        <v>100</v>
      </c>
      <c r="B46" s="1"/>
      <c r="C46" s="1" t="s">
        <v>54</v>
      </c>
      <c r="D46" s="24">
        <v>96971</v>
      </c>
      <c r="E46" s="24">
        <v>96971</v>
      </c>
      <c r="F46" s="28">
        <f t="shared" si="0"/>
        <v>0</v>
      </c>
      <c r="G46" s="24">
        <v>121372.4</v>
      </c>
      <c r="H46" s="24">
        <f>119020.4+2352</f>
        <v>121372.4</v>
      </c>
      <c r="I46" s="28">
        <f t="shared" si="1"/>
        <v>0</v>
      </c>
      <c r="J46" s="5">
        <v>115939.9</v>
      </c>
      <c r="K46" s="24">
        <f t="shared" si="2"/>
        <v>18968.899999999994</v>
      </c>
      <c r="L46" s="24">
        <f t="shared" si="3"/>
        <v>-5432.5</v>
      </c>
      <c r="M46" s="32">
        <f t="shared" si="4"/>
        <v>1.1956141526848232</v>
      </c>
      <c r="N46" s="32">
        <f t="shared" si="5"/>
        <v>0.95524105974669693</v>
      </c>
      <c r="O46" s="32">
        <f t="shared" si="6"/>
        <v>0.95524105974669693</v>
      </c>
    </row>
    <row r="47" spans="1:15" x14ac:dyDescent="0.25">
      <c r="A47" s="25" t="s">
        <v>101</v>
      </c>
      <c r="B47" s="1"/>
      <c r="C47" s="1" t="s">
        <v>56</v>
      </c>
      <c r="D47" s="24">
        <v>106211.1</v>
      </c>
      <c r="E47" s="24">
        <v>106211.1</v>
      </c>
      <c r="F47" s="28">
        <f t="shared" si="0"/>
        <v>0</v>
      </c>
      <c r="G47" s="24">
        <v>105653.1</v>
      </c>
      <c r="H47" s="24">
        <v>105653.1</v>
      </c>
      <c r="I47" s="28">
        <f t="shared" si="1"/>
        <v>0</v>
      </c>
      <c r="J47" s="5">
        <v>103134.39999999999</v>
      </c>
      <c r="K47" s="24">
        <f t="shared" si="2"/>
        <v>-3076.7000000000116</v>
      </c>
      <c r="L47" s="24">
        <f t="shared" si="3"/>
        <v>-2518.7000000000116</v>
      </c>
      <c r="M47" s="32">
        <f t="shared" si="4"/>
        <v>0.9710322179131935</v>
      </c>
      <c r="N47" s="32">
        <f t="shared" si="5"/>
        <v>0.97616066163699866</v>
      </c>
      <c r="O47" s="32">
        <f t="shared" si="6"/>
        <v>0.97616066163699866</v>
      </c>
    </row>
    <row r="48" spans="1:15" ht="24" x14ac:dyDescent="0.25">
      <c r="A48" s="25" t="s">
        <v>102</v>
      </c>
      <c r="B48" s="1"/>
      <c r="C48" s="1" t="s">
        <v>58</v>
      </c>
      <c r="D48" s="24">
        <v>639</v>
      </c>
      <c r="E48" s="24">
        <v>639</v>
      </c>
      <c r="F48" s="28">
        <f t="shared" si="0"/>
        <v>0</v>
      </c>
      <c r="G48" s="24">
        <v>639</v>
      </c>
      <c r="H48" s="24">
        <v>639</v>
      </c>
      <c r="I48" s="28">
        <f t="shared" si="1"/>
        <v>0</v>
      </c>
      <c r="J48" s="5">
        <v>586.79999999999995</v>
      </c>
      <c r="K48" s="24">
        <f t="shared" si="2"/>
        <v>-52.200000000000045</v>
      </c>
      <c r="L48" s="24">
        <f t="shared" si="3"/>
        <v>-52.200000000000045</v>
      </c>
      <c r="M48" s="32">
        <f t="shared" si="4"/>
        <v>0.91830985915492946</v>
      </c>
      <c r="N48" s="32">
        <f t="shared" si="5"/>
        <v>0.91830985915492946</v>
      </c>
      <c r="O48" s="32">
        <f t="shared" si="6"/>
        <v>0.91830985915492946</v>
      </c>
    </row>
    <row r="49" spans="1:15" x14ac:dyDescent="0.25">
      <c r="A49" s="25" t="s">
        <v>103</v>
      </c>
      <c r="B49" s="1"/>
      <c r="C49" s="1" t="s">
        <v>60</v>
      </c>
      <c r="D49" s="24">
        <v>29453.5</v>
      </c>
      <c r="E49" s="24">
        <v>29453.5</v>
      </c>
      <c r="F49" s="28">
        <f t="shared" si="0"/>
        <v>0</v>
      </c>
      <c r="G49" s="24">
        <v>30774.5</v>
      </c>
      <c r="H49" s="24">
        <v>30774.5</v>
      </c>
      <c r="I49" s="28">
        <f t="shared" si="1"/>
        <v>0</v>
      </c>
      <c r="J49" s="5">
        <v>28670.400000000001</v>
      </c>
      <c r="K49" s="24">
        <f t="shared" si="2"/>
        <v>-783.09999999999854</v>
      </c>
      <c r="L49" s="24">
        <f t="shared" si="3"/>
        <v>-2104.0999999999985</v>
      </c>
      <c r="M49" s="32">
        <f t="shared" si="4"/>
        <v>0.9734123279067004</v>
      </c>
      <c r="N49" s="32">
        <f t="shared" si="5"/>
        <v>0.93162845862646027</v>
      </c>
      <c r="O49" s="32">
        <f t="shared" si="6"/>
        <v>0.93162845862646027</v>
      </c>
    </row>
    <row r="50" spans="1:15" ht="48" x14ac:dyDescent="0.25">
      <c r="A50" s="25" t="s">
        <v>104</v>
      </c>
      <c r="B50" s="1"/>
      <c r="C50" s="1" t="s">
        <v>63</v>
      </c>
      <c r="D50" s="24">
        <v>3509</v>
      </c>
      <c r="E50" s="24">
        <v>3509</v>
      </c>
      <c r="F50" s="28">
        <f t="shared" si="0"/>
        <v>0</v>
      </c>
      <c r="G50" s="24">
        <v>2795.9</v>
      </c>
      <c r="H50" s="24">
        <v>2795.9</v>
      </c>
      <c r="I50" s="28">
        <f t="shared" si="1"/>
        <v>0</v>
      </c>
      <c r="J50" s="5">
        <v>2497</v>
      </c>
      <c r="K50" s="24">
        <f t="shared" si="2"/>
        <v>-1012</v>
      </c>
      <c r="L50" s="24">
        <f t="shared" si="3"/>
        <v>-298.90000000000009</v>
      </c>
      <c r="M50" s="32">
        <f t="shared" si="4"/>
        <v>0.71159874608150475</v>
      </c>
      <c r="N50" s="32">
        <f t="shared" si="5"/>
        <v>0.89309345827819309</v>
      </c>
      <c r="O50" s="32">
        <f t="shared" si="6"/>
        <v>0.89309345827819309</v>
      </c>
    </row>
    <row r="51" spans="1:15" ht="24" x14ac:dyDescent="0.25">
      <c r="A51" s="25" t="s">
        <v>116</v>
      </c>
      <c r="B51" s="1"/>
      <c r="C51" s="1" t="s">
        <v>73</v>
      </c>
      <c r="D51" s="24">
        <v>1800</v>
      </c>
      <c r="E51" s="24">
        <v>1800</v>
      </c>
      <c r="F51" s="28">
        <f t="shared" si="0"/>
        <v>0</v>
      </c>
      <c r="G51" s="24">
        <v>17798.599999999999</v>
      </c>
      <c r="H51" s="24">
        <f>1917.9+15880.7</f>
        <v>17798.600000000002</v>
      </c>
      <c r="I51" s="28">
        <f t="shared" si="1"/>
        <v>0</v>
      </c>
      <c r="J51" s="5">
        <v>8028.7</v>
      </c>
      <c r="K51" s="24">
        <f t="shared" si="2"/>
        <v>6228.7</v>
      </c>
      <c r="L51" s="24">
        <f t="shared" si="3"/>
        <v>-9769.9000000000015</v>
      </c>
      <c r="M51" s="32">
        <f t="shared" si="4"/>
        <v>4.4603888888888887</v>
      </c>
      <c r="N51" s="32">
        <f t="shared" si="5"/>
        <v>0.4510860404750936</v>
      </c>
      <c r="O51" s="32">
        <f t="shared" si="6"/>
        <v>0.45108604047509349</v>
      </c>
    </row>
    <row r="52" spans="1:15" x14ac:dyDescent="0.25">
      <c r="A52" s="26" t="s">
        <v>105</v>
      </c>
      <c r="B52" s="7">
        <v>10</v>
      </c>
      <c r="C52" s="7"/>
      <c r="D52" s="28">
        <f>D53+D54+D55+D56</f>
        <v>93839.8</v>
      </c>
      <c r="E52" s="28">
        <v>93839.8</v>
      </c>
      <c r="F52" s="28">
        <f t="shared" si="0"/>
        <v>0</v>
      </c>
      <c r="G52" s="28">
        <v>199439.5</v>
      </c>
      <c r="H52" s="28">
        <v>199439.5</v>
      </c>
      <c r="I52" s="28">
        <f t="shared" si="1"/>
        <v>0</v>
      </c>
      <c r="J52" s="23">
        <v>144740.5</v>
      </c>
      <c r="K52" s="28">
        <f t="shared" si="2"/>
        <v>50900.7</v>
      </c>
      <c r="L52" s="28">
        <f t="shared" si="3"/>
        <v>-54699</v>
      </c>
      <c r="M52" s="31">
        <f t="shared" si="4"/>
        <v>1.5424212327818261</v>
      </c>
      <c r="N52" s="31">
        <f t="shared" si="5"/>
        <v>0.72573637619428444</v>
      </c>
      <c r="O52" s="31">
        <f t="shared" si="6"/>
        <v>0.72573637619428444</v>
      </c>
    </row>
    <row r="53" spans="1:15" x14ac:dyDescent="0.25">
      <c r="A53" s="25" t="s">
        <v>106</v>
      </c>
      <c r="B53" s="1"/>
      <c r="C53" s="1" t="s">
        <v>54</v>
      </c>
      <c r="D53" s="24">
        <v>2250</v>
      </c>
      <c r="E53" s="24">
        <v>2250</v>
      </c>
      <c r="F53" s="28">
        <f t="shared" si="0"/>
        <v>0</v>
      </c>
      <c r="G53" s="24">
        <v>3116</v>
      </c>
      <c r="H53" s="24">
        <v>3116</v>
      </c>
      <c r="I53" s="28">
        <f t="shared" si="1"/>
        <v>0</v>
      </c>
      <c r="J53" s="5">
        <v>3115.7</v>
      </c>
      <c r="K53" s="24">
        <f t="shared" si="2"/>
        <v>865.69999999999982</v>
      </c>
      <c r="L53" s="24">
        <f t="shared" si="3"/>
        <v>-0.3000000000001819</v>
      </c>
      <c r="M53" s="32">
        <f t="shared" si="4"/>
        <v>1.3847555555555555</v>
      </c>
      <c r="N53" s="32">
        <f t="shared" si="5"/>
        <v>0.99990372272143768</v>
      </c>
      <c r="O53" s="32">
        <f t="shared" si="6"/>
        <v>0.99990372272143768</v>
      </c>
    </row>
    <row r="54" spans="1:15" ht="24" x14ac:dyDescent="0.25">
      <c r="A54" s="25" t="s">
        <v>107</v>
      </c>
      <c r="B54" s="1"/>
      <c r="C54" s="1" t="s">
        <v>58</v>
      </c>
      <c r="D54" s="24">
        <v>15516</v>
      </c>
      <c r="E54" s="24">
        <v>15516</v>
      </c>
      <c r="F54" s="28">
        <f t="shared" si="0"/>
        <v>0</v>
      </c>
      <c r="G54" s="24">
        <v>115929.4</v>
      </c>
      <c r="H54" s="24">
        <f>21935.1+92755.6+1238.7</f>
        <v>115929.40000000001</v>
      </c>
      <c r="I54" s="28">
        <f t="shared" si="1"/>
        <v>0</v>
      </c>
      <c r="J54" s="5">
        <v>61344.800000000003</v>
      </c>
      <c r="K54" s="24">
        <f t="shared" si="2"/>
        <v>45828.800000000003</v>
      </c>
      <c r="L54" s="24">
        <f t="shared" si="3"/>
        <v>-54584.600000000006</v>
      </c>
      <c r="M54" s="32">
        <f t="shared" si="4"/>
        <v>3.9536478473833463</v>
      </c>
      <c r="N54" s="32">
        <f t="shared" si="5"/>
        <v>0.52915653837594268</v>
      </c>
      <c r="O54" s="32">
        <f t="shared" si="6"/>
        <v>0.52915653837594256</v>
      </c>
    </row>
    <row r="55" spans="1:15" x14ac:dyDescent="0.25">
      <c r="A55" s="25" t="s">
        <v>108</v>
      </c>
      <c r="B55" s="1"/>
      <c r="C55" s="1" t="s">
        <v>60</v>
      </c>
      <c r="D55" s="24">
        <v>68008.5</v>
      </c>
      <c r="E55" s="24">
        <v>68008.5</v>
      </c>
      <c r="F55" s="28">
        <f t="shared" si="0"/>
        <v>0</v>
      </c>
      <c r="G55" s="24">
        <v>72087.5</v>
      </c>
      <c r="H55" s="24">
        <f>64323.5+7764</f>
        <v>72087.5</v>
      </c>
      <c r="I55" s="28">
        <f t="shared" si="1"/>
        <v>0</v>
      </c>
      <c r="J55" s="5">
        <v>71973.399999999994</v>
      </c>
      <c r="K55" s="24">
        <f t="shared" si="2"/>
        <v>3964.8999999999942</v>
      </c>
      <c r="L55" s="24">
        <f t="shared" si="3"/>
        <v>-114.10000000000582</v>
      </c>
      <c r="M55" s="32">
        <f t="shared" si="4"/>
        <v>1.0583000654329973</v>
      </c>
      <c r="N55" s="32">
        <f t="shared" si="5"/>
        <v>0.99841720131784284</v>
      </c>
      <c r="O55" s="32">
        <f t="shared" si="6"/>
        <v>0.99841720131784284</v>
      </c>
    </row>
    <row r="56" spans="1:15" ht="24" x14ac:dyDescent="0.25">
      <c r="A56" s="25" t="s">
        <v>109</v>
      </c>
      <c r="B56" s="1"/>
      <c r="C56" s="1" t="s">
        <v>63</v>
      </c>
      <c r="D56" s="24">
        <v>8065.3</v>
      </c>
      <c r="E56" s="24">
        <v>8065.3</v>
      </c>
      <c r="F56" s="28">
        <f t="shared" si="0"/>
        <v>0</v>
      </c>
      <c r="G56" s="24">
        <v>8306.6</v>
      </c>
      <c r="H56" s="24">
        <v>8306.6</v>
      </c>
      <c r="I56" s="28">
        <f t="shared" si="1"/>
        <v>0</v>
      </c>
      <c r="J56" s="5">
        <v>8306.6</v>
      </c>
      <c r="K56" s="24">
        <f t="shared" si="2"/>
        <v>241.30000000000018</v>
      </c>
      <c r="L56" s="24">
        <f t="shared" si="3"/>
        <v>0</v>
      </c>
      <c r="M56" s="32">
        <f t="shared" si="4"/>
        <v>1.0299182919420233</v>
      </c>
      <c r="N56" s="32">
        <f t="shared" si="5"/>
        <v>1</v>
      </c>
      <c r="O56" s="32">
        <f t="shared" si="6"/>
        <v>1</v>
      </c>
    </row>
    <row r="57" spans="1:15" x14ac:dyDescent="0.25">
      <c r="A57" s="26" t="s">
        <v>110</v>
      </c>
      <c r="B57" s="7">
        <v>11</v>
      </c>
      <c r="C57" s="7"/>
      <c r="D57" s="28">
        <f>D58+D59</f>
        <v>37445.300000000003</v>
      </c>
      <c r="E57" s="28">
        <v>37445.300000000003</v>
      </c>
      <c r="F57" s="28">
        <f t="shared" si="0"/>
        <v>0</v>
      </c>
      <c r="G57" s="28">
        <v>262772.40000000002</v>
      </c>
      <c r="H57" s="28">
        <v>262772.40000000002</v>
      </c>
      <c r="I57" s="28">
        <f t="shared" si="1"/>
        <v>0</v>
      </c>
      <c r="J57" s="23">
        <v>169646.2</v>
      </c>
      <c r="K57" s="28">
        <f t="shared" si="2"/>
        <v>132200.90000000002</v>
      </c>
      <c r="L57" s="28">
        <f t="shared" si="3"/>
        <v>-93126.200000000012</v>
      </c>
      <c r="M57" s="31">
        <f t="shared" si="4"/>
        <v>4.5305071664534671</v>
      </c>
      <c r="N57" s="31">
        <f t="shared" si="5"/>
        <v>0.6456012884153739</v>
      </c>
      <c r="O57" s="31">
        <f t="shared" si="6"/>
        <v>0.6456012884153739</v>
      </c>
    </row>
    <row r="58" spans="1:15" x14ac:dyDescent="0.25">
      <c r="A58" s="25" t="s">
        <v>110</v>
      </c>
      <c r="B58" s="1"/>
      <c r="C58" s="1" t="s">
        <v>54</v>
      </c>
      <c r="D58" s="24">
        <v>18643</v>
      </c>
      <c r="E58" s="24">
        <v>18643</v>
      </c>
      <c r="F58" s="28">
        <f t="shared" si="0"/>
        <v>0</v>
      </c>
      <c r="G58" s="24">
        <v>20817.5</v>
      </c>
      <c r="H58" s="24">
        <v>20817.5</v>
      </c>
      <c r="I58" s="28">
        <f t="shared" si="1"/>
        <v>0</v>
      </c>
      <c r="J58" s="5">
        <v>20815</v>
      </c>
      <c r="K58" s="24">
        <f t="shared" si="2"/>
        <v>2172</v>
      </c>
      <c r="L58" s="24">
        <f t="shared" si="3"/>
        <v>-2.5</v>
      </c>
      <c r="M58" s="32">
        <f t="shared" si="4"/>
        <v>1.116504854368932</v>
      </c>
      <c r="N58" s="32">
        <f t="shared" si="5"/>
        <v>0.99987990873063526</v>
      </c>
      <c r="O58" s="32">
        <f t="shared" si="6"/>
        <v>0.99987990873063526</v>
      </c>
    </row>
    <row r="59" spans="1:15" x14ac:dyDescent="0.25">
      <c r="A59" s="25" t="s">
        <v>111</v>
      </c>
      <c r="B59" s="1"/>
      <c r="C59" s="1" t="s">
        <v>56</v>
      </c>
      <c r="D59" s="24">
        <v>18802.3</v>
      </c>
      <c r="E59" s="24">
        <v>18802.3</v>
      </c>
      <c r="F59" s="28">
        <f t="shared" si="0"/>
        <v>0</v>
      </c>
      <c r="G59" s="24">
        <v>241954.9</v>
      </c>
      <c r="H59" s="24">
        <f>7862.1+234092.8</f>
        <v>241954.9</v>
      </c>
      <c r="I59" s="28">
        <f t="shared" si="1"/>
        <v>0</v>
      </c>
      <c r="J59" s="5">
        <v>148831.20000000001</v>
      </c>
      <c r="K59" s="24">
        <f t="shared" si="2"/>
        <v>130028.90000000001</v>
      </c>
      <c r="L59" s="24">
        <f t="shared" si="3"/>
        <v>-93123.699999999983</v>
      </c>
      <c r="M59" s="32">
        <f t="shared" si="4"/>
        <v>7.9155847954771499</v>
      </c>
      <c r="N59" s="32">
        <f t="shared" si="5"/>
        <v>0.61511959460213461</v>
      </c>
      <c r="O59" s="32">
        <f t="shared" si="6"/>
        <v>0.61511959460213461</v>
      </c>
    </row>
    <row r="60" spans="1:15" x14ac:dyDescent="0.25">
      <c r="A60" s="26" t="s">
        <v>112</v>
      </c>
      <c r="B60" s="23">
        <v>12</v>
      </c>
      <c r="C60" s="23"/>
      <c r="D60" s="28">
        <f>D61</f>
        <v>12994</v>
      </c>
      <c r="E60" s="28">
        <v>12994</v>
      </c>
      <c r="F60" s="28">
        <f t="shared" si="0"/>
        <v>0</v>
      </c>
      <c r="G60" s="28">
        <v>15494</v>
      </c>
      <c r="H60" s="28">
        <v>15494</v>
      </c>
      <c r="I60" s="28">
        <f t="shared" si="1"/>
        <v>0</v>
      </c>
      <c r="J60" s="23">
        <v>15494</v>
      </c>
      <c r="K60" s="28">
        <f t="shared" si="2"/>
        <v>2500</v>
      </c>
      <c r="L60" s="28">
        <f t="shared" si="3"/>
        <v>0</v>
      </c>
      <c r="M60" s="31">
        <f t="shared" si="4"/>
        <v>1.1923964906880098</v>
      </c>
      <c r="N60" s="31">
        <f t="shared" si="5"/>
        <v>1</v>
      </c>
      <c r="O60" s="31">
        <f t="shared" si="6"/>
        <v>1</v>
      </c>
    </row>
    <row r="61" spans="1:15" x14ac:dyDescent="0.25">
      <c r="A61" s="25" t="s">
        <v>115</v>
      </c>
      <c r="B61" s="1"/>
      <c r="C61" s="1" t="s">
        <v>56</v>
      </c>
      <c r="D61" s="24">
        <v>12994</v>
      </c>
      <c r="E61" s="24">
        <v>12994</v>
      </c>
      <c r="F61" s="28">
        <f t="shared" si="0"/>
        <v>0</v>
      </c>
      <c r="G61" s="24">
        <v>15494</v>
      </c>
      <c r="H61" s="24">
        <v>15494</v>
      </c>
      <c r="I61" s="28">
        <f t="shared" si="1"/>
        <v>0</v>
      </c>
      <c r="J61" s="5">
        <v>15494</v>
      </c>
      <c r="K61" s="24">
        <f t="shared" si="2"/>
        <v>2500</v>
      </c>
      <c r="L61" s="24">
        <f t="shared" si="3"/>
        <v>0</v>
      </c>
      <c r="M61" s="32">
        <f t="shared" si="4"/>
        <v>1.1923964906880098</v>
      </c>
      <c r="N61" s="32">
        <f t="shared" si="5"/>
        <v>1</v>
      </c>
      <c r="O61" s="32">
        <f t="shared" si="6"/>
        <v>1</v>
      </c>
    </row>
    <row r="62" spans="1:15" ht="25.5" x14ac:dyDescent="0.25">
      <c r="A62" s="26" t="s">
        <v>114</v>
      </c>
      <c r="B62" s="23">
        <v>13</v>
      </c>
      <c r="C62" s="23" t="s">
        <v>54</v>
      </c>
      <c r="D62" s="28">
        <v>2000</v>
      </c>
      <c r="E62" s="28">
        <v>2000</v>
      </c>
      <c r="F62" s="28">
        <f t="shared" si="0"/>
        <v>0</v>
      </c>
      <c r="G62" s="28">
        <v>1000</v>
      </c>
      <c r="H62" s="28">
        <v>1000</v>
      </c>
      <c r="I62" s="28">
        <f t="shared" si="1"/>
        <v>0</v>
      </c>
      <c r="J62" s="23">
        <v>796.6</v>
      </c>
      <c r="K62" s="28">
        <f t="shared" si="2"/>
        <v>-1203.4000000000001</v>
      </c>
      <c r="L62" s="28">
        <f t="shared" si="3"/>
        <v>-203.39999999999998</v>
      </c>
      <c r="M62" s="31">
        <f t="shared" si="4"/>
        <v>0.39829999999999999</v>
      </c>
      <c r="N62" s="31">
        <f t="shared" si="5"/>
        <v>0.79659999999999997</v>
      </c>
      <c r="O62" s="31">
        <f t="shared" si="6"/>
        <v>0.79659999999999997</v>
      </c>
    </row>
    <row r="63" spans="1:15" x14ac:dyDescent="0.25">
      <c r="A63" s="23" t="s">
        <v>113</v>
      </c>
      <c r="B63" s="23"/>
      <c r="C63" s="23"/>
      <c r="D63" s="28">
        <f>D7+D16+D18+D22+D30+D35+D37+D42+D45+D52+D57+D60+D62</f>
        <v>1966633.7</v>
      </c>
      <c r="E63" s="28">
        <v>1966633.7</v>
      </c>
      <c r="F63" s="28">
        <f t="shared" si="0"/>
        <v>0</v>
      </c>
      <c r="G63" s="28">
        <v>4375854.8</v>
      </c>
      <c r="H63" s="28">
        <v>4376107.9000000004</v>
      </c>
      <c r="I63" s="28">
        <f t="shared" si="1"/>
        <v>253.10000000055879</v>
      </c>
      <c r="J63" s="23">
        <v>3631212.1</v>
      </c>
      <c r="K63" s="28">
        <f t="shared" si="2"/>
        <v>1664578.4000000001</v>
      </c>
      <c r="L63" s="28">
        <f t="shared" si="3"/>
        <v>-744895.80000000028</v>
      </c>
      <c r="M63" s="31">
        <f t="shared" si="4"/>
        <v>1.8464099847368629</v>
      </c>
      <c r="N63" s="31">
        <f t="shared" si="5"/>
        <v>0.82982920274228478</v>
      </c>
      <c r="O63" s="31">
        <f t="shared" si="6"/>
        <v>0.82978120809132694</v>
      </c>
    </row>
  </sheetData>
  <mergeCells count="1">
    <mergeCell ref="M5:N5"/>
  </mergeCells>
  <pageMargins left="0.62992125984251968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Водка</dc:creator>
  <cp:lastModifiedBy>Заварзина Елена Владимировна</cp:lastModifiedBy>
  <cp:lastPrinted>2012-04-10T04:19:08Z</cp:lastPrinted>
  <dcterms:created xsi:type="dcterms:W3CDTF">2012-04-01T13:57:46Z</dcterms:created>
  <dcterms:modified xsi:type="dcterms:W3CDTF">2016-12-06T06:48:26Z</dcterms:modified>
</cp:coreProperties>
</file>