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нмцк" sheetId="1" r:id="rId1"/>
  </sheets>
  <definedNames>
    <definedName name="_xlfn.IFERROR" hidden="1">#NAME?</definedName>
    <definedName name="_xlnm.Print_Area" localSheetId="0">'нмцк'!$A$1:$M$131</definedName>
  </definedNames>
  <calcPr fullCalcOnLoad="1"/>
</workbook>
</file>

<file path=xl/sharedStrings.xml><?xml version="1.0" encoding="utf-8"?>
<sst xmlns="http://schemas.openxmlformats.org/spreadsheetml/2006/main" count="261" uniqueCount="177">
  <si>
    <t>1. Определение общих используемых параметров</t>
  </si>
  <si>
    <t>Константа</t>
  </si>
  <si>
    <t>Наименование</t>
  </si>
  <si>
    <t>Порядок расчета или исходные данные</t>
  </si>
  <si>
    <t>Ед. изм</t>
  </si>
  <si>
    <t>Значение
2022 г.</t>
  </si>
  <si>
    <t>n1</t>
  </si>
  <si>
    <t>Количество требуемых 24-х часовых постов охраны по контракту</t>
  </si>
  <si>
    <t>пост</t>
  </si>
  <si>
    <t>n2</t>
  </si>
  <si>
    <t>n3</t>
  </si>
  <si>
    <t>Количество требуемых 8-ми часовых постов охраны по контракту</t>
  </si>
  <si>
    <t>МРОТ</t>
  </si>
  <si>
    <t xml:space="preserve">Минимальный размер оплаты труда </t>
  </si>
  <si>
    <t xml:space="preserve">Ст. 1 Закона от 19.06.2000 № 82-ФЗ о МРОТ </t>
  </si>
  <si>
    <t>руб.</t>
  </si>
  <si>
    <t>I_инфл</t>
  </si>
  <si>
    <t>Индекс потребительских цен</t>
  </si>
  <si>
    <t>%</t>
  </si>
  <si>
    <t>НДС</t>
  </si>
  <si>
    <t>Налог на добавленную стоимость</t>
  </si>
  <si>
    <t>Налоговый кодекс</t>
  </si>
  <si>
    <t>Y</t>
  </si>
  <si>
    <t>Ставка страховых взносов</t>
  </si>
  <si>
    <t>U1</t>
  </si>
  <si>
    <t>Корректирующий коэффициент</t>
  </si>
  <si>
    <r>
      <t xml:space="preserve">U1=Uб+Uд1+Uд2+Uд.. </t>
    </r>
    <r>
      <rPr>
        <b/>
        <i/>
        <sz val="11"/>
        <rFont val="Times New Roman"/>
        <family val="1"/>
      </rPr>
      <t>(сумма Uд не может превышать 0,35) Согласно таблицы 1 приказа</t>
    </r>
  </si>
  <si>
    <t>-</t>
  </si>
  <si>
    <t>Uб</t>
  </si>
  <si>
    <r>
      <t xml:space="preserve">базовый коэффициент </t>
    </r>
    <r>
      <rPr>
        <b/>
        <u val="single"/>
        <sz val="11"/>
        <rFont val="Times New Roman"/>
        <family val="1"/>
      </rPr>
      <t>для 24 часового поста</t>
    </r>
    <r>
      <rPr>
        <sz val="11"/>
        <rFont val="Times New Roman"/>
        <family val="1"/>
      </rPr>
      <t xml:space="preserve"> (равно 1)</t>
    </r>
  </si>
  <si>
    <t>Uд1</t>
  </si>
  <si>
    <t>дополнительный коэффициент для 24 часового поста
(наличие спецсредств у охранника) да = 0,05; нет = 0</t>
  </si>
  <si>
    <t>Uд2</t>
  </si>
  <si>
    <t>дополнительный коэффициент для 24 часового поста
(место проведения массовых мероприятий) да = 0,3; нет = 0</t>
  </si>
  <si>
    <t>дополнительный коэффициент для 24 часового поста
(объект с требованиями по антитеррористической защищенности) да = 0,1; нет = 0</t>
  </si>
  <si>
    <t>U2</t>
  </si>
  <si>
    <r>
      <t xml:space="preserve">U2=Uб+Uд1+Uд2+Uд.. </t>
    </r>
    <r>
      <rPr>
        <b/>
        <i/>
        <sz val="11"/>
        <rFont val="Times New Roman"/>
        <family val="1"/>
      </rPr>
      <t>(сумма Uд не может превышать 0,35)</t>
    </r>
  </si>
  <si>
    <t>дополнительный коэффициент для 12 часового поста
(место проведения массовых мероприятий) да = 0,3; нет = 0</t>
  </si>
  <si>
    <t>дополнительный коэффициент для 12 часового поста
(объект с требованиями по антитеррористической защищенности) да = 0,1; нет = 0</t>
  </si>
  <si>
    <t>Ku1</t>
  </si>
  <si>
    <t>Количество часов работы работника</t>
  </si>
  <si>
    <t>час</t>
  </si>
  <si>
    <t>Ku2</t>
  </si>
  <si>
    <t>СНР</t>
  </si>
  <si>
    <t>Среднемесячная норма рабочего времени</t>
  </si>
  <si>
    <t>СНР=164,4 часа (из производственного календаря на 2022г.)</t>
  </si>
  <si>
    <t>2. Расчет прямых затрат Сu:</t>
  </si>
  <si>
    <t>Переменная</t>
  </si>
  <si>
    <t>Порядок расчета</t>
  </si>
  <si>
    <t>Расчет</t>
  </si>
  <si>
    <t>Результат
2022</t>
  </si>
  <si>
    <t>БЗП</t>
  </si>
  <si>
    <t>Базовая заработная плата</t>
  </si>
  <si>
    <t>МРОТ/СНР</t>
  </si>
  <si>
    <t>Дн</t>
  </si>
  <si>
    <r>
      <t xml:space="preserve">доплата за ночные часы: 
</t>
    </r>
    <r>
      <rPr>
        <b/>
        <i/>
        <sz val="11"/>
        <rFont val="Times New Roman"/>
        <family val="1"/>
      </rPr>
      <t>только для 24 часовых постов</t>
    </r>
  </si>
  <si>
    <t>(20% от БЗП)/Кu1</t>
  </si>
  <si>
    <t>Двп</t>
  </si>
  <si>
    <t xml:space="preserve">доплата за нерабочие праздничные дни (для 24 часового)
</t>
  </si>
  <si>
    <t>(100% от БЗП)/Кu1</t>
  </si>
  <si>
    <t xml:space="preserve">РО </t>
  </si>
  <si>
    <t>СВ</t>
  </si>
  <si>
    <t>=</t>
  </si>
  <si>
    <t>руб./час</t>
  </si>
  <si>
    <t>Сu3 (для 8 часового поста в 2021 - 2023 гг.)=(125,31 + 8,35 + 40,51 + 14,51 + 58,98 )*U3</t>
  </si>
  <si>
    <t>3. Расчет НМЦК:</t>
  </si>
  <si>
    <t>3.1 Расчет общих прямых затрат</t>
  </si>
  <si>
    <t xml:space="preserve"> </t>
  </si>
  <si>
    <t xml:space="preserve">Общие прямые затраты для 24 ч.поста (2022 г.) = </t>
  </si>
  <si>
    <t xml:space="preserve">руб. </t>
  </si>
  <si>
    <t xml:space="preserve">Общие прямые затраты для 8 ч.поста (2021г.) = </t>
  </si>
  <si>
    <t>умножить на количество постов (добавить в формулу "* на строку количество постов"</t>
  </si>
  <si>
    <t xml:space="preserve">Общие прямые затраты для 8 ч.поста (2022 г.) = </t>
  </si>
  <si>
    <t xml:space="preserve">Общие прямые затраты для 8 ч.поста (2023 г.) = </t>
  </si>
  <si>
    <t>3.2 Расчет КР (косвенные расходы)</t>
  </si>
  <si>
    <t>КР=</t>
  </si>
  <si>
    <t>* 0,2</t>
  </si>
  <si>
    <t>КР1 (24 часа) (2022 г.)</t>
  </si>
  <si>
    <t>КР3 (8 часов) (2021 г.)</t>
  </si>
  <si>
    <t>КР3 (8 часов) (2022 г.)</t>
  </si>
  <si>
    <t>КР3 (8 часов) (2023 г.)</t>
  </si>
  <si>
    <t>3.3 Расчет Прибыли</t>
  </si>
  <si>
    <t>П =</t>
  </si>
  <si>
    <t>НП3 (8 часов) (2021 г.)</t>
  </si>
  <si>
    <t>НП3 (8 часов) (2022 г.)</t>
  </si>
  <si>
    <t>НП3 (8 часов) (2023 г.)</t>
  </si>
  <si>
    <t>3.4 Полный расчет с НДС и инфляцией.</t>
  </si>
  <si>
    <t>Н(М)ЦК (8 часов) (2021 г.)</t>
  </si>
  <si>
    <t>Н(М)ЦК (8 часов) (2022 г.)</t>
  </si>
  <si>
    <t>Н(М)ЦК (8 часов) (2023 г.)</t>
  </si>
  <si>
    <t>ИТОГО</t>
  </si>
  <si>
    <t>Определение и обоснование начальной (максимальной) цены контракта произведено номативным методом в соответствии с требованиями части 22 статьи 22 Федерального закона от 5 апреля 2013г. № 44-ФЗ «О контрактной системе в сфере закупок товаров, работ, услуг для обеспечения государственных и муниципальных нужд», пункта 1 Постановления Правительства РФ от 8 мая 2020 г. N 645 "О федеральном органе исполнительной власти, уполномоченном на установление порядка определения начальной (максимальной) цены контракта, цены контракта, заключаемого с единственным поставщиком (подрядчиком, исполнителем), начальной цены единицы товара, работы, услуги при осуществлении закупок охранных услуг", Приказа Федеральной службы войск национальной гвардии РФ от 15 февраля 2021 г. N 45 "Об утверждении Порядка определения начальной (максимальной) цены контракта, цены контракта, заключаемого с единственным поставщиком (подрядчиком, исполнителем), начальной цены единицы товара, работы, услуги при осуществлении закупок охранных услуг".</t>
  </si>
  <si>
    <t>Расчет по приказу ФЕДЕРАЛЬНОЙ СЛУЖБЫ ВОЙСК НАЦИОНАЛЬНОЙ ГВАРДИИ РОССИЙСКОЙ ФЕДЕРАЦИИ от 15 февраля 2021г. №45 "Об утверждении порядка определения начальной (максимальной) цены контракты, цены контракта, заключаемого с единственным поставщиком (подрядчиком, исполнителем), начальная цена единицы товара, работы, услуги при осуществлении закупок охранных услуг"</t>
  </si>
  <si>
    <t xml:space="preserve">к извещению об осуществлении аукциона в электронной форме среди субъектов малого предпринимательства и </t>
  </si>
  <si>
    <t>социально ориентированных некоммерческих организаций на право заключения</t>
  </si>
  <si>
    <t>гражданско-правового договора на оказание услуг по охране объекта</t>
  </si>
  <si>
    <t>ОБОСНОВАНИЕ НАЧАЛЬНОЙ (МАКСИМАЛЬНОЙ) ЦЕНЫ ГРАЖДАНСКО-ПРАВОВОГО ДОГОВОРА</t>
  </si>
  <si>
    <t xml:space="preserve">Количество требуемых 12-ти часовых постов охраны по контракту </t>
  </si>
  <si>
    <r>
      <t xml:space="preserve">базовый коэффициент </t>
    </r>
    <r>
      <rPr>
        <b/>
        <u val="single"/>
        <sz val="11"/>
        <rFont val="Times New Roman"/>
        <family val="1"/>
      </rPr>
      <t>для 12 часового поста</t>
    </r>
    <r>
      <rPr>
        <sz val="11"/>
        <rFont val="Times New Roman"/>
        <family val="1"/>
      </rPr>
      <t xml:space="preserve"> (равно 1,5)</t>
    </r>
  </si>
  <si>
    <t>дополнительный коэффициент для 12 часового поста
(наличие спецсредств у охранника) да = 0,05; нет = 0</t>
  </si>
  <si>
    <t xml:space="preserve">(2022 г.) 24 часа*275календарный день =6600 часа
</t>
  </si>
  <si>
    <t xml:space="preserve">
(2022 г.) 12 часов*275 календарный день = 3300 часа
</t>
  </si>
  <si>
    <t>24 часа * 6 праздничных нерабочих дней (из производственного календаря на 2022г.)= 144 нерабочих праздничных часа</t>
  </si>
  <si>
    <t>Дрк</t>
  </si>
  <si>
    <t>(БЗП+Дн+Двп)*50%</t>
  </si>
  <si>
    <t>(БЗП+Дн+Двп+Дрк)/9</t>
  </si>
  <si>
    <t>(БЗП+Дн+Двп+Дрк+РО)*30,2%</t>
  </si>
  <si>
    <t>U1=1,35</t>
  </si>
  <si>
    <t>U2=1,85</t>
  </si>
  <si>
    <t>доплата за нерабочие праздничные дни (для 12 часового)</t>
  </si>
  <si>
    <t xml:space="preserve">Общие прямые затраты для 12 ч.поста (2022г.) = </t>
  </si>
  <si>
    <t>КР2 (12 часов) (2022 г.)</t>
  </si>
  <si>
    <t>Если расчет НМЦК и начало срока действия контракта приходятся на один год, то для этого года срока действия контракта значение Iинфл принимается равным единице.</t>
  </si>
  <si>
    <t>13 890,00/164,4= 84,49 руб/час</t>
  </si>
  <si>
    <r>
      <t>(2022 г.)</t>
    </r>
    <r>
      <rPr>
        <sz val="11"/>
        <rFont val="Times New Roman"/>
        <family val="1"/>
      </rPr>
      <t xml:space="preserve"> 8 часов * 275 календарный день = 2 200 ночных часа</t>
    </r>
  </si>
  <si>
    <t>доплата составит: 20% * 84,49 (БЗП) * 2 200 ночных часов = 37 175,60 руб.</t>
  </si>
  <si>
    <t>Для корректности расчета необходимо соотнести размер доплаты за ночные к БЗП. Для этого нужно размер доплаты поделить на количество часов работы поста: 37 175,60/ 6600 = 7,47 руб/час</t>
  </si>
  <si>
    <t>доплата составит: 100% * 84,49 (БЗП) * 144 нерабочих праздничных часа = 12 166,56 руб.</t>
  </si>
  <si>
    <t>Для корректности расчета необходимо соотнести размер доплаты за выходные и праздничные к БЗП. Для этого нужно размер доплаты поделить на количество часов работы поста: 12 166,56 / 6 600 = 1,84 руб/час</t>
  </si>
  <si>
    <t>(84,49+5,63+1,84)*50%=45,98 руб.</t>
  </si>
  <si>
    <t>доплата за работу в районах Крайнего севера и приравненных к ним местностях (для 24 часового)</t>
  </si>
  <si>
    <t>доплата за работу в районах Крайнего севера и приравненных к ним местностях (для 12 часового)</t>
  </si>
  <si>
    <t>Резерв на отпуск (для 24 часового)</t>
  </si>
  <si>
    <t>Резерв на отпуск (для 12 часового)</t>
  </si>
  <si>
    <t>Страховые взносы (для 24 часового)</t>
  </si>
  <si>
    <t>Страховые взносы (для 12 часового)</t>
  </si>
  <si>
    <t>12 часов * 6 праздничных нерабочих дней (из производственного календаря на 2022г.)= 72 нерабочих праздничных часа доплата составит: 100% * 84,49 (БЗП) * 72 нерабочих праздничных часа = 6 083,28 руб.Для корректности расчета необходимо соотнести размер доплаты за выходные и праздничные к БЗП. Для этого нужно размер доплаты поделить на количество часов работы поста: 6083,28 /  3300= 1,84 руб/час</t>
  </si>
  <si>
    <t>(84,49+1,84)*50%=43,17 руб.</t>
  </si>
  <si>
    <t>(84,49 + 5,63 + 1,84+45,98) / 9 = 15,33 руб/час</t>
  </si>
  <si>
    <t>(84,49 +  1,84+43,17) / 9 = 14,39 руб/час</t>
  </si>
  <si>
    <t>(84,49 + 5,63+ 1,84+45,98 + 15,33)*30,2%=  46,29 руб /час</t>
  </si>
  <si>
    <t>(84,49 +  1,84+43,17 + 14,39)*30,2%=  43,45 руб /час</t>
  </si>
  <si>
    <t>Сu1 (для 24 часового поста)=(84,49 + 5,63+ 1,84 +45,98+ 15,33+46,29)*U1</t>
  </si>
  <si>
    <t>Сu2 (для 12 часового поста )=(84,49+1,84+43,17+14,39+43,45)*U2</t>
  </si>
  <si>
    <t>269,40*6600=1 778 019,01для одного  24 ч. поста</t>
  </si>
  <si>
    <t>346,57*3300=1 143 686,89 для одного 12 ч. поста</t>
  </si>
  <si>
    <t>КР1 = 1 778 019,01*0,2=355 603,80</t>
  </si>
  <si>
    <t>КР2 = 1 143 686,89*0,2=228 737,38</t>
  </si>
  <si>
    <t>П1=(1 778 019,01+355 603,80)*0,05=106 681,14</t>
  </si>
  <si>
    <t>П2=(1 143 686,89+228 737,38)*0,05=68 621,21</t>
  </si>
  <si>
    <t>НДС рассчитываем по формуле: НДС1 = (((Си × Ки) + КР + П) × 0,2)*I_инфл = (((1 778 019,01)+355 603,80+106 681,14)*0,2)*1=448 060,79</t>
  </si>
  <si>
    <t xml:space="preserve">     НДС2 = (((Си × Ки) + КР + П) × 0,2)*I_инфл = (((1 143 686,89)+228 737,38+68 621,21)*0,2)*1=288 209,10</t>
  </si>
  <si>
    <t>НМЦК1=((1 778 019,01)+355 603,80+106 681,14)*1+448 060,79= 2 688 364,75</t>
  </si>
  <si>
    <t>НМЦК2=((1 143 686,89)+228 737,38+68 621,21)*1+288 209,10=1 729254,58</t>
  </si>
  <si>
    <t xml:space="preserve">В связи с отсутствием необходимых лимитов бюджетных обязательств, согласно показателям плана финансово-хозяйственной деятельности, </t>
  </si>
  <si>
    <t>Расчет начальной (максимальной) цены контракта сформирован заказчиком на основании ответов на запросы ценовой информации</t>
  </si>
  <si>
    <t>№ п.п</t>
  </si>
  <si>
    <t>Код по КТРУ</t>
  </si>
  <si>
    <t>Наименование  услуги</t>
  </si>
  <si>
    <t>Характеристика услуги</t>
  </si>
  <si>
    <t>Ед.     товара</t>
  </si>
  <si>
    <t>Кол-во</t>
  </si>
  <si>
    <t>Средняя цена, руб.</t>
  </si>
  <si>
    <t>80.10.12.000-00000003</t>
  </si>
  <si>
    <t>Услуги частной охраны (Выставление поста охраны)</t>
  </si>
  <si>
    <t>Оказание услуг по охране объекта с 00.00 до 24.00</t>
  </si>
  <si>
    <t>человеко-час</t>
  </si>
  <si>
    <t>Оказание услуг по охране объекта с 10.00 до 22.00</t>
  </si>
  <si>
    <t>ИТОГО:</t>
  </si>
  <si>
    <t>ВСЕГО: Начальная (максимальная) цена гражданско-правового договора</t>
  </si>
  <si>
    <t>Коммерческие предложения, данные реестра контрактов (руб./ед.изм.)</t>
  </si>
  <si>
    <t>Однородность совокупности значений выявленных цен, используемых в расчете Н(М)ЦК</t>
  </si>
  <si>
    <t>Н(М)ЦК, определяемая методом сопоставимых рыночных цен (анализа рынка) *</t>
  </si>
  <si>
    <t>Коммерческое предложение Поставщик №1</t>
  </si>
  <si>
    <t>Коммерческое предложение Поставщик №2</t>
  </si>
  <si>
    <t>Коммерческое предложение Поставщик №3</t>
  </si>
  <si>
    <t xml:space="preserve">Среднее квадратичное отклонение   </t>
  </si>
  <si>
    <t xml:space="preserve">Коэффициент вариации цен V (%)    </t>
  </si>
  <si>
    <t>Н(М)ЦК (24 часа)</t>
  </si>
  <si>
    <t xml:space="preserve">Н(М)ЦК (12часов) </t>
  </si>
  <si>
    <t xml:space="preserve">НП1 (24 часа) </t>
  </si>
  <si>
    <t>НП2 (12 часов)</t>
  </si>
  <si>
    <t>2) Закупка № 0387200028221000028</t>
  </si>
  <si>
    <t>3) Закупка № 0373100134520001072</t>
  </si>
  <si>
    <t xml:space="preserve">1) Закупка № 0373100134520001036 </t>
  </si>
  <si>
    <t>принято решение установить НМЦК: 1 004 274 (Один миллион четыре тысячи двести семьдесят четыре) рубля 74 копейки.</t>
  </si>
  <si>
    <t xml:space="preserve">Приложение № 2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</si>
</sst>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#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u val="single"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/>
    </xf>
    <xf numFmtId="0" fontId="3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left" vertical="top"/>
    </xf>
    <xf numFmtId="4" fontId="2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justify" vertical="center"/>
    </xf>
    <xf numFmtId="0" fontId="7" fillId="0" borderId="0" xfId="0" applyFont="1" applyFill="1" applyAlignment="1">
      <alignment horizontal="justify" vertical="center"/>
    </xf>
    <xf numFmtId="172" fontId="2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43" fontId="2" fillId="0" borderId="12" xfId="58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43" fontId="2" fillId="0" borderId="12" xfId="58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10" fillId="0" borderId="13" xfId="0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0" fontId="8" fillId="0" borderId="0" xfId="0" applyFont="1" applyFill="1" applyAlignment="1">
      <alignment horizontal="right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/>
    </xf>
    <xf numFmtId="0" fontId="2" fillId="0" borderId="10" xfId="0" applyFont="1" applyFill="1" applyBorder="1" applyAlignment="1">
      <alignment wrapText="1"/>
    </xf>
    <xf numFmtId="2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8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8" fillId="0" borderId="2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31</xdr:row>
      <xdr:rowOff>180975</xdr:rowOff>
    </xdr:from>
    <xdr:to>
      <xdr:col>5</xdr:col>
      <xdr:colOff>514350</xdr:colOff>
      <xdr:row>33</xdr:row>
      <xdr:rowOff>180975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1172825"/>
          <a:ext cx="465772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276225</xdr:colOff>
      <xdr:row>77</xdr:row>
      <xdr:rowOff>180975</xdr:rowOff>
    </xdr:from>
    <xdr:to>
      <xdr:col>2</xdr:col>
      <xdr:colOff>266700</xdr:colOff>
      <xdr:row>79</xdr:row>
      <xdr:rowOff>142875</xdr:rowOff>
    </xdr:to>
    <xdr:pic>
      <xdr:nvPicPr>
        <xdr:cNvPr id="2" name="Рисунок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23050500"/>
          <a:ext cx="13049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104775</xdr:colOff>
      <xdr:row>67</xdr:row>
      <xdr:rowOff>85725</xdr:rowOff>
    </xdr:from>
    <xdr:to>
      <xdr:col>0</xdr:col>
      <xdr:colOff>704850</xdr:colOff>
      <xdr:row>70</xdr:row>
      <xdr:rowOff>123825</xdr:rowOff>
    </xdr:to>
    <xdr:pic>
      <xdr:nvPicPr>
        <xdr:cNvPr id="3" name="Рисунок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21621750"/>
          <a:ext cx="60007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476250</xdr:colOff>
      <xdr:row>87</xdr:row>
      <xdr:rowOff>0</xdr:rowOff>
    </xdr:from>
    <xdr:to>
      <xdr:col>4</xdr:col>
      <xdr:colOff>323850</xdr:colOff>
      <xdr:row>88</xdr:row>
      <xdr:rowOff>190500</xdr:rowOff>
    </xdr:to>
    <xdr:pic>
      <xdr:nvPicPr>
        <xdr:cNvPr id="4" name="Рисунок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0" y="24117300"/>
          <a:ext cx="31718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85725</xdr:colOff>
      <xdr:row>62</xdr:row>
      <xdr:rowOff>19050</xdr:rowOff>
    </xdr:from>
    <xdr:to>
      <xdr:col>5</xdr:col>
      <xdr:colOff>19050</xdr:colOff>
      <xdr:row>65</xdr:row>
      <xdr:rowOff>142875</xdr:rowOff>
    </xdr:to>
    <xdr:pic>
      <xdr:nvPicPr>
        <xdr:cNvPr id="5" name="Рисунок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" y="20602575"/>
          <a:ext cx="414337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0"/>
  <sheetViews>
    <sheetView tabSelected="1" view="pageBreakPreview" zoomScaleSheetLayoutView="100" zoomScalePageLayoutView="0" workbookViewId="0" topLeftCell="A1">
      <selection activeCell="D4" sqref="D4:M4"/>
    </sheetView>
  </sheetViews>
  <sheetFormatPr defaultColWidth="9.140625" defaultRowHeight="15"/>
  <cols>
    <col min="1" max="1" width="10.57421875" style="1" customWidth="1"/>
    <col min="2" max="2" width="9.140625" style="1" customWidth="1"/>
    <col min="3" max="3" width="17.8515625" style="1" customWidth="1"/>
    <col min="4" max="4" width="12.28125" style="1" customWidth="1"/>
    <col min="5" max="5" width="13.28125" style="1" customWidth="1"/>
    <col min="6" max="6" width="20.57421875" style="1" customWidth="1"/>
    <col min="7" max="7" width="17.421875" style="1" customWidth="1"/>
    <col min="8" max="8" width="16.8515625" style="1" customWidth="1"/>
    <col min="9" max="9" width="17.28125" style="1" customWidth="1"/>
    <col min="10" max="10" width="11.421875" style="1" customWidth="1"/>
    <col min="11" max="11" width="12.421875" style="1" customWidth="1"/>
    <col min="12" max="12" width="17.140625" style="1" customWidth="1"/>
    <col min="13" max="13" width="20.7109375" style="1" customWidth="1"/>
    <col min="14" max="16" width="9.140625" style="1" customWidth="1"/>
    <col min="17" max="17" width="10.00390625" style="1" bestFit="1" customWidth="1"/>
    <col min="18" max="16384" width="9.140625" style="1" customWidth="1"/>
  </cols>
  <sheetData>
    <row r="1" spans="3:14" ht="15">
      <c r="C1" s="21"/>
      <c r="D1" s="50" t="s">
        <v>176</v>
      </c>
      <c r="E1" s="50"/>
      <c r="F1" s="50"/>
      <c r="G1" s="50"/>
      <c r="H1" s="50"/>
      <c r="I1" s="50"/>
      <c r="J1" s="50"/>
      <c r="K1" s="50"/>
      <c r="L1" s="50"/>
      <c r="M1" s="50"/>
      <c r="N1" s="41"/>
    </row>
    <row r="2" spans="3:14" ht="15">
      <c r="C2" s="50" t="s">
        <v>93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41"/>
    </row>
    <row r="3" spans="3:14" ht="15.75" customHeight="1">
      <c r="C3" s="50" t="s">
        <v>94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41"/>
    </row>
    <row r="4" spans="3:14" ht="15">
      <c r="C4" s="21"/>
      <c r="D4" s="50" t="s">
        <v>95</v>
      </c>
      <c r="E4" s="50"/>
      <c r="F4" s="50"/>
      <c r="G4" s="50"/>
      <c r="H4" s="50"/>
      <c r="I4" s="50"/>
      <c r="J4" s="50"/>
      <c r="K4" s="50"/>
      <c r="L4" s="50"/>
      <c r="M4" s="50"/>
      <c r="N4" s="41"/>
    </row>
    <row r="5" spans="3:12" ht="15">
      <c r="C5" s="21"/>
      <c r="D5" s="22"/>
      <c r="E5" s="22"/>
      <c r="F5" s="22"/>
      <c r="G5" s="22"/>
      <c r="H5" s="22"/>
      <c r="I5" s="22"/>
      <c r="J5" s="22"/>
      <c r="K5" s="22"/>
      <c r="L5" s="22"/>
    </row>
    <row r="6" spans="1:12" ht="15">
      <c r="A6" s="94" t="s">
        <v>96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</row>
    <row r="7" spans="1:12" ht="84" customHeight="1">
      <c r="A7" s="93" t="s">
        <v>91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</row>
    <row r="8" ht="15">
      <c r="A8" s="1" t="s">
        <v>0</v>
      </c>
    </row>
    <row r="9" spans="1:10" ht="45.75" customHeight="1">
      <c r="A9" s="95" t="s">
        <v>92</v>
      </c>
      <c r="B9" s="95"/>
      <c r="C9" s="95"/>
      <c r="D9" s="95"/>
      <c r="E9" s="95"/>
      <c r="F9" s="95"/>
      <c r="G9" s="95"/>
      <c r="H9" s="95"/>
      <c r="I9" s="95"/>
      <c r="J9" s="95"/>
    </row>
    <row r="10" spans="1:10" ht="32.25" customHeight="1">
      <c r="A10" s="4" t="s">
        <v>1</v>
      </c>
      <c r="B10" s="58" t="s">
        <v>2</v>
      </c>
      <c r="C10" s="58"/>
      <c r="D10" s="58"/>
      <c r="E10" s="58"/>
      <c r="F10" s="58" t="s">
        <v>3</v>
      </c>
      <c r="G10" s="58"/>
      <c r="H10" s="58"/>
      <c r="I10" s="4" t="s">
        <v>4</v>
      </c>
      <c r="J10" s="5" t="s">
        <v>5</v>
      </c>
    </row>
    <row r="11" spans="1:11" s="3" customFormat="1" ht="29.25" customHeight="1">
      <c r="A11" s="6" t="s">
        <v>6</v>
      </c>
      <c r="B11" s="59" t="s">
        <v>7</v>
      </c>
      <c r="C11" s="59"/>
      <c r="D11" s="59"/>
      <c r="E11" s="59"/>
      <c r="F11" s="60"/>
      <c r="G11" s="60"/>
      <c r="H11" s="60"/>
      <c r="I11" s="7" t="s">
        <v>8</v>
      </c>
      <c r="J11" s="7">
        <v>1</v>
      </c>
      <c r="K11" s="8"/>
    </row>
    <row r="12" spans="1:10" s="3" customFormat="1" ht="29.25" customHeight="1">
      <c r="A12" s="6" t="s">
        <v>9</v>
      </c>
      <c r="B12" s="59" t="s">
        <v>97</v>
      </c>
      <c r="C12" s="59"/>
      <c r="D12" s="59"/>
      <c r="E12" s="59"/>
      <c r="F12" s="60"/>
      <c r="G12" s="60"/>
      <c r="H12" s="60"/>
      <c r="I12" s="7" t="s">
        <v>8</v>
      </c>
      <c r="J12" s="7">
        <v>1</v>
      </c>
    </row>
    <row r="13" spans="1:10" s="3" customFormat="1" ht="29.25" customHeight="1" hidden="1">
      <c r="A13" s="6" t="s">
        <v>10</v>
      </c>
      <c r="B13" s="59" t="s">
        <v>11</v>
      </c>
      <c r="C13" s="59"/>
      <c r="D13" s="59"/>
      <c r="E13" s="59"/>
      <c r="F13" s="60"/>
      <c r="G13" s="60"/>
      <c r="H13" s="60"/>
      <c r="I13" s="7" t="s">
        <v>8</v>
      </c>
      <c r="J13" s="7"/>
    </row>
    <row r="14" spans="1:10" ht="22.5" customHeight="1">
      <c r="A14" s="6" t="s">
        <v>12</v>
      </c>
      <c r="B14" s="59" t="s">
        <v>13</v>
      </c>
      <c r="C14" s="59"/>
      <c r="D14" s="59"/>
      <c r="E14" s="59"/>
      <c r="F14" s="67" t="s">
        <v>14</v>
      </c>
      <c r="G14" s="67"/>
      <c r="H14" s="67"/>
      <c r="I14" s="7" t="s">
        <v>15</v>
      </c>
      <c r="J14" s="10">
        <v>13890</v>
      </c>
    </row>
    <row r="15" spans="1:10" ht="48.75" customHeight="1">
      <c r="A15" s="9" t="s">
        <v>16</v>
      </c>
      <c r="B15" s="62" t="s">
        <v>17</v>
      </c>
      <c r="C15" s="62"/>
      <c r="D15" s="62"/>
      <c r="E15" s="62"/>
      <c r="F15" s="63" t="s">
        <v>112</v>
      </c>
      <c r="G15" s="63"/>
      <c r="H15" s="63"/>
      <c r="I15" s="7" t="s">
        <v>18</v>
      </c>
      <c r="J15" s="7">
        <v>1</v>
      </c>
    </row>
    <row r="16" spans="1:10" ht="15">
      <c r="A16" s="6" t="s">
        <v>19</v>
      </c>
      <c r="B16" s="64" t="s">
        <v>20</v>
      </c>
      <c r="C16" s="64"/>
      <c r="D16" s="64"/>
      <c r="E16" s="64"/>
      <c r="F16" s="64" t="s">
        <v>21</v>
      </c>
      <c r="G16" s="64"/>
      <c r="H16" s="64"/>
      <c r="I16" s="7" t="s">
        <v>18</v>
      </c>
      <c r="J16" s="7">
        <v>20</v>
      </c>
    </row>
    <row r="17" spans="1:10" ht="15">
      <c r="A17" s="6" t="s">
        <v>22</v>
      </c>
      <c r="B17" s="64" t="s">
        <v>23</v>
      </c>
      <c r="C17" s="64"/>
      <c r="D17" s="64"/>
      <c r="E17" s="64"/>
      <c r="F17" s="64" t="s">
        <v>21</v>
      </c>
      <c r="G17" s="64"/>
      <c r="H17" s="64"/>
      <c r="I17" s="7" t="s">
        <v>18</v>
      </c>
      <c r="J17" s="7">
        <v>30.2</v>
      </c>
    </row>
    <row r="18" spans="1:10" ht="30" customHeight="1">
      <c r="A18" s="9" t="s">
        <v>24</v>
      </c>
      <c r="B18" s="64" t="s">
        <v>25</v>
      </c>
      <c r="C18" s="64"/>
      <c r="D18" s="64"/>
      <c r="E18" s="64"/>
      <c r="F18" s="63" t="s">
        <v>26</v>
      </c>
      <c r="G18" s="63"/>
      <c r="H18" s="63"/>
      <c r="I18" s="7" t="s">
        <v>27</v>
      </c>
      <c r="J18" s="7">
        <v>1.35</v>
      </c>
    </row>
    <row r="19" spans="1:10" ht="15">
      <c r="A19" s="9" t="s">
        <v>28</v>
      </c>
      <c r="B19" s="64" t="s">
        <v>25</v>
      </c>
      <c r="C19" s="64"/>
      <c r="D19" s="64"/>
      <c r="E19" s="64"/>
      <c r="F19" s="68" t="s">
        <v>29</v>
      </c>
      <c r="G19" s="68"/>
      <c r="H19" s="68"/>
      <c r="I19" s="7" t="s">
        <v>27</v>
      </c>
      <c r="J19" s="7">
        <v>1</v>
      </c>
    </row>
    <row r="20" spans="1:10" ht="28.5" customHeight="1">
      <c r="A20" s="9" t="s">
        <v>30</v>
      </c>
      <c r="B20" s="64" t="s">
        <v>25</v>
      </c>
      <c r="C20" s="64"/>
      <c r="D20" s="64"/>
      <c r="E20" s="64"/>
      <c r="F20" s="63" t="s">
        <v>31</v>
      </c>
      <c r="G20" s="63"/>
      <c r="H20" s="63"/>
      <c r="I20" s="7" t="s">
        <v>27</v>
      </c>
      <c r="J20" s="7">
        <v>0.05</v>
      </c>
    </row>
    <row r="21" spans="1:10" ht="45.75" customHeight="1">
      <c r="A21" s="9" t="s">
        <v>32</v>
      </c>
      <c r="B21" s="64" t="s">
        <v>25</v>
      </c>
      <c r="C21" s="64"/>
      <c r="D21" s="64"/>
      <c r="E21" s="64"/>
      <c r="F21" s="63" t="s">
        <v>33</v>
      </c>
      <c r="G21" s="63"/>
      <c r="H21" s="63"/>
      <c r="I21" s="7" t="s">
        <v>27</v>
      </c>
      <c r="J21" s="7">
        <v>0.3</v>
      </c>
    </row>
    <row r="22" spans="1:10" ht="45.75" customHeight="1">
      <c r="A22" s="9" t="s">
        <v>32</v>
      </c>
      <c r="B22" s="64" t="s">
        <v>25</v>
      </c>
      <c r="C22" s="64"/>
      <c r="D22" s="64"/>
      <c r="E22" s="64"/>
      <c r="F22" s="63" t="s">
        <v>34</v>
      </c>
      <c r="G22" s="63"/>
      <c r="H22" s="63"/>
      <c r="I22" s="7" t="s">
        <v>27</v>
      </c>
      <c r="J22" s="7">
        <v>0</v>
      </c>
    </row>
    <row r="23" spans="1:10" ht="36" customHeight="1">
      <c r="A23" s="9" t="s">
        <v>35</v>
      </c>
      <c r="B23" s="64" t="s">
        <v>25</v>
      </c>
      <c r="C23" s="64"/>
      <c r="D23" s="64"/>
      <c r="E23" s="64"/>
      <c r="F23" s="63" t="s">
        <v>36</v>
      </c>
      <c r="G23" s="63"/>
      <c r="H23" s="63"/>
      <c r="I23" s="7" t="s">
        <v>27</v>
      </c>
      <c r="J23" s="7">
        <v>1.85</v>
      </c>
    </row>
    <row r="24" spans="1:10" ht="21.75" customHeight="1">
      <c r="A24" s="9" t="s">
        <v>28</v>
      </c>
      <c r="B24" s="64" t="s">
        <v>25</v>
      </c>
      <c r="C24" s="64"/>
      <c r="D24" s="64"/>
      <c r="E24" s="64"/>
      <c r="F24" s="63" t="s">
        <v>98</v>
      </c>
      <c r="G24" s="63"/>
      <c r="H24" s="63"/>
      <c r="I24" s="7" t="s">
        <v>27</v>
      </c>
      <c r="J24" s="7">
        <v>1.5</v>
      </c>
    </row>
    <row r="25" spans="1:10" ht="28.5" customHeight="1">
      <c r="A25" s="9" t="s">
        <v>30</v>
      </c>
      <c r="B25" s="64" t="s">
        <v>25</v>
      </c>
      <c r="C25" s="64"/>
      <c r="D25" s="64"/>
      <c r="E25" s="64"/>
      <c r="F25" s="63" t="s">
        <v>99</v>
      </c>
      <c r="G25" s="63"/>
      <c r="H25" s="63"/>
      <c r="I25" s="7" t="s">
        <v>27</v>
      </c>
      <c r="J25" s="7">
        <v>0.05</v>
      </c>
    </row>
    <row r="26" spans="1:10" ht="36" customHeight="1">
      <c r="A26" s="9" t="s">
        <v>32</v>
      </c>
      <c r="B26" s="64" t="s">
        <v>25</v>
      </c>
      <c r="C26" s="64"/>
      <c r="D26" s="64"/>
      <c r="E26" s="64"/>
      <c r="F26" s="63" t="s">
        <v>37</v>
      </c>
      <c r="G26" s="63"/>
      <c r="H26" s="63"/>
      <c r="I26" s="7" t="s">
        <v>27</v>
      </c>
      <c r="J26" s="7">
        <v>0.3</v>
      </c>
    </row>
    <row r="27" spans="1:10" ht="45.75" customHeight="1">
      <c r="A27" s="9" t="s">
        <v>32</v>
      </c>
      <c r="B27" s="64" t="s">
        <v>25</v>
      </c>
      <c r="C27" s="64"/>
      <c r="D27" s="64"/>
      <c r="E27" s="64"/>
      <c r="F27" s="63" t="s">
        <v>38</v>
      </c>
      <c r="G27" s="63"/>
      <c r="H27" s="63"/>
      <c r="I27" s="7" t="s">
        <v>27</v>
      </c>
      <c r="J27" s="7">
        <v>0</v>
      </c>
    </row>
    <row r="28" spans="1:10" ht="22.5" customHeight="1">
      <c r="A28" s="6" t="s">
        <v>39</v>
      </c>
      <c r="B28" s="64" t="s">
        <v>40</v>
      </c>
      <c r="C28" s="64"/>
      <c r="D28" s="64"/>
      <c r="E28" s="64"/>
      <c r="F28" s="67" t="s">
        <v>100</v>
      </c>
      <c r="G28" s="67"/>
      <c r="H28" s="67"/>
      <c r="I28" s="7" t="s">
        <v>41</v>
      </c>
      <c r="J28" s="7">
        <v>6600</v>
      </c>
    </row>
    <row r="29" spans="1:10" ht="33" customHeight="1">
      <c r="A29" s="6" t="s">
        <v>42</v>
      </c>
      <c r="B29" s="64" t="s">
        <v>40</v>
      </c>
      <c r="C29" s="64"/>
      <c r="D29" s="64"/>
      <c r="E29" s="64"/>
      <c r="F29" s="69" t="s">
        <v>101</v>
      </c>
      <c r="G29" s="69"/>
      <c r="H29" s="69"/>
      <c r="I29" s="7" t="s">
        <v>41</v>
      </c>
      <c r="J29" s="7">
        <v>3300</v>
      </c>
    </row>
    <row r="30" spans="1:10" ht="22.5" customHeight="1">
      <c r="A30" s="6" t="s">
        <v>43</v>
      </c>
      <c r="B30" s="64" t="s">
        <v>44</v>
      </c>
      <c r="C30" s="64"/>
      <c r="D30" s="64"/>
      <c r="E30" s="64"/>
      <c r="F30" s="70" t="s">
        <v>45</v>
      </c>
      <c r="G30" s="70"/>
      <c r="H30" s="70"/>
      <c r="I30" s="7" t="s">
        <v>41</v>
      </c>
      <c r="J30" s="7">
        <v>164.4</v>
      </c>
    </row>
    <row r="31" ht="27" customHeight="1"/>
    <row r="32" ht="15">
      <c r="A32" s="1" t="s">
        <v>46</v>
      </c>
    </row>
    <row r="35" spans="1:10" ht="28.5">
      <c r="A35" s="11" t="s">
        <v>47</v>
      </c>
      <c r="B35" s="58" t="s">
        <v>2</v>
      </c>
      <c r="C35" s="58"/>
      <c r="D35" s="58"/>
      <c r="E35" s="58" t="s">
        <v>48</v>
      </c>
      <c r="F35" s="58"/>
      <c r="G35" s="58" t="s">
        <v>49</v>
      </c>
      <c r="H35" s="58"/>
      <c r="I35" s="58"/>
      <c r="J35" s="5" t="s">
        <v>50</v>
      </c>
    </row>
    <row r="36" spans="1:10" ht="15" customHeight="1">
      <c r="A36" s="12" t="s">
        <v>51</v>
      </c>
      <c r="B36" s="71" t="s">
        <v>52</v>
      </c>
      <c r="C36" s="71"/>
      <c r="D36" s="71"/>
      <c r="E36" s="61" t="s">
        <v>53</v>
      </c>
      <c r="F36" s="61"/>
      <c r="G36" s="72" t="s">
        <v>113</v>
      </c>
      <c r="H36" s="72"/>
      <c r="I36" s="72"/>
      <c r="J36" s="25">
        <v>84.49</v>
      </c>
    </row>
    <row r="37" spans="1:10" ht="9" customHeight="1">
      <c r="A37" s="61" t="s">
        <v>54</v>
      </c>
      <c r="B37" s="71" t="s">
        <v>55</v>
      </c>
      <c r="C37" s="71"/>
      <c r="D37" s="71"/>
      <c r="E37" s="61" t="s">
        <v>56</v>
      </c>
      <c r="F37" s="61"/>
      <c r="G37" s="73"/>
      <c r="H37" s="73"/>
      <c r="I37" s="73"/>
      <c r="J37" s="74">
        <v>5.63</v>
      </c>
    </row>
    <row r="38" spans="1:10" ht="30" customHeight="1" hidden="1">
      <c r="A38" s="61"/>
      <c r="B38" s="71"/>
      <c r="C38" s="71"/>
      <c r="D38" s="71"/>
      <c r="E38" s="61"/>
      <c r="F38" s="61"/>
      <c r="G38" s="75"/>
      <c r="H38" s="75"/>
      <c r="I38" s="75"/>
      <c r="J38" s="74"/>
    </row>
    <row r="39" spans="1:10" ht="27" customHeight="1" hidden="1">
      <c r="A39" s="61"/>
      <c r="B39" s="71"/>
      <c r="C39" s="71"/>
      <c r="D39" s="71"/>
      <c r="E39" s="61"/>
      <c r="F39" s="61"/>
      <c r="G39" s="75"/>
      <c r="H39" s="75"/>
      <c r="I39" s="75"/>
      <c r="J39" s="74"/>
    </row>
    <row r="40" spans="1:10" ht="77.25" customHeight="1" hidden="1">
      <c r="A40" s="61"/>
      <c r="B40" s="71"/>
      <c r="C40" s="71"/>
      <c r="D40" s="71"/>
      <c r="E40" s="61"/>
      <c r="F40" s="61"/>
      <c r="G40" s="76"/>
      <c r="H40" s="76"/>
      <c r="I40" s="76"/>
      <c r="J40" s="74"/>
    </row>
    <row r="41" spans="1:10" ht="27.75" customHeight="1">
      <c r="A41" s="61"/>
      <c r="B41" s="71"/>
      <c r="C41" s="71"/>
      <c r="D41" s="71"/>
      <c r="E41" s="61"/>
      <c r="F41" s="61"/>
      <c r="G41" s="77" t="s">
        <v>114</v>
      </c>
      <c r="H41" s="77"/>
      <c r="I41" s="77"/>
      <c r="J41" s="74"/>
    </row>
    <row r="42" spans="1:10" ht="36.75" customHeight="1">
      <c r="A42" s="61"/>
      <c r="B42" s="71"/>
      <c r="C42" s="71"/>
      <c r="D42" s="71"/>
      <c r="E42" s="61"/>
      <c r="F42" s="61"/>
      <c r="G42" s="75" t="s">
        <v>115</v>
      </c>
      <c r="H42" s="75"/>
      <c r="I42" s="75"/>
      <c r="J42" s="74"/>
    </row>
    <row r="43" spans="1:10" ht="66" customHeight="1">
      <c r="A43" s="61"/>
      <c r="B43" s="71"/>
      <c r="C43" s="71"/>
      <c r="D43" s="71"/>
      <c r="E43" s="61"/>
      <c r="F43" s="61"/>
      <c r="G43" s="78" t="s">
        <v>116</v>
      </c>
      <c r="H43" s="78"/>
      <c r="I43" s="78"/>
      <c r="J43" s="74"/>
    </row>
    <row r="44" spans="1:10" ht="3" customHeight="1" hidden="1">
      <c r="A44" s="61"/>
      <c r="B44" s="71"/>
      <c r="C44" s="71"/>
      <c r="D44" s="71"/>
      <c r="E44" s="61"/>
      <c r="F44" s="61"/>
      <c r="G44" s="75"/>
      <c r="H44" s="75"/>
      <c r="I44" s="75"/>
      <c r="J44" s="74"/>
    </row>
    <row r="45" spans="1:10" ht="27" customHeight="1" hidden="1">
      <c r="A45" s="61"/>
      <c r="B45" s="71"/>
      <c r="C45" s="71"/>
      <c r="D45" s="71"/>
      <c r="E45" s="61"/>
      <c r="F45" s="61"/>
      <c r="G45" s="75"/>
      <c r="H45" s="75"/>
      <c r="I45" s="75"/>
      <c r="J45" s="74"/>
    </row>
    <row r="46" spans="1:10" ht="61.5" customHeight="1" hidden="1">
      <c r="A46" s="61"/>
      <c r="B46" s="71"/>
      <c r="C46" s="71"/>
      <c r="D46" s="71"/>
      <c r="E46" s="61"/>
      <c r="F46" s="61"/>
      <c r="G46" s="76"/>
      <c r="H46" s="76"/>
      <c r="I46" s="76"/>
      <c r="J46" s="74"/>
    </row>
    <row r="47" spans="1:10" ht="45" customHeight="1">
      <c r="A47" s="61" t="s">
        <v>57</v>
      </c>
      <c r="B47" s="71" t="s">
        <v>58</v>
      </c>
      <c r="C47" s="71"/>
      <c r="D47" s="71"/>
      <c r="E47" s="61" t="s">
        <v>59</v>
      </c>
      <c r="F47" s="61"/>
      <c r="G47" s="96" t="s">
        <v>102</v>
      </c>
      <c r="H47" s="96"/>
      <c r="I47" s="96"/>
      <c r="J47" s="74">
        <v>1.84</v>
      </c>
    </row>
    <row r="48" spans="1:10" ht="28.5" customHeight="1">
      <c r="A48" s="61"/>
      <c r="B48" s="71"/>
      <c r="C48" s="71"/>
      <c r="D48" s="71"/>
      <c r="E48" s="61"/>
      <c r="F48" s="61"/>
      <c r="G48" s="75" t="s">
        <v>117</v>
      </c>
      <c r="H48" s="75"/>
      <c r="I48" s="75"/>
      <c r="J48" s="74"/>
    </row>
    <row r="49" spans="1:10" ht="64.5" customHeight="1">
      <c r="A49" s="61"/>
      <c r="B49" s="71"/>
      <c r="C49" s="71"/>
      <c r="D49" s="71"/>
      <c r="E49" s="61"/>
      <c r="F49" s="61"/>
      <c r="G49" s="76" t="s">
        <v>118</v>
      </c>
      <c r="H49" s="76"/>
      <c r="I49" s="76"/>
      <c r="J49" s="74"/>
    </row>
    <row r="50" spans="1:10" ht="123" customHeight="1">
      <c r="A50" s="12" t="s">
        <v>57</v>
      </c>
      <c r="B50" s="80" t="s">
        <v>109</v>
      </c>
      <c r="C50" s="81"/>
      <c r="D50" s="82"/>
      <c r="E50" s="83" t="s">
        <v>59</v>
      </c>
      <c r="F50" s="84"/>
      <c r="G50" s="88" t="s">
        <v>126</v>
      </c>
      <c r="H50" s="89"/>
      <c r="I50" s="90"/>
      <c r="J50" s="26">
        <v>1.84</v>
      </c>
    </row>
    <row r="51" spans="1:10" ht="51" customHeight="1">
      <c r="A51" s="12" t="s">
        <v>103</v>
      </c>
      <c r="B51" s="80" t="s">
        <v>120</v>
      </c>
      <c r="C51" s="81"/>
      <c r="D51" s="82"/>
      <c r="E51" s="83" t="s">
        <v>104</v>
      </c>
      <c r="F51" s="84"/>
      <c r="G51" s="85" t="s">
        <v>119</v>
      </c>
      <c r="H51" s="86"/>
      <c r="I51" s="87"/>
      <c r="J51" s="26">
        <f>(J36+J37+J47)*50%</f>
        <v>45.98</v>
      </c>
    </row>
    <row r="52" spans="1:10" ht="55.5" customHeight="1">
      <c r="A52" s="12" t="s">
        <v>103</v>
      </c>
      <c r="B52" s="80" t="s">
        <v>121</v>
      </c>
      <c r="C52" s="81"/>
      <c r="D52" s="82"/>
      <c r="E52" s="83" t="s">
        <v>104</v>
      </c>
      <c r="F52" s="84"/>
      <c r="G52" s="85" t="s">
        <v>127</v>
      </c>
      <c r="H52" s="86"/>
      <c r="I52" s="87"/>
      <c r="J52" s="26">
        <f>(J36+J50)*50%</f>
        <v>43.165</v>
      </c>
    </row>
    <row r="53" spans="1:10" ht="15" customHeight="1">
      <c r="A53" s="12" t="s">
        <v>60</v>
      </c>
      <c r="B53" s="61" t="s">
        <v>122</v>
      </c>
      <c r="C53" s="61"/>
      <c r="D53" s="61"/>
      <c r="E53" s="61" t="s">
        <v>105</v>
      </c>
      <c r="F53" s="61"/>
      <c r="G53" s="88" t="s">
        <v>128</v>
      </c>
      <c r="H53" s="89"/>
      <c r="I53" s="90"/>
      <c r="J53" s="26">
        <f>(J36+J37+J47+J51)/9</f>
        <v>15.326666666666666</v>
      </c>
    </row>
    <row r="54" spans="1:10" ht="15" customHeight="1">
      <c r="A54" s="12" t="s">
        <v>60</v>
      </c>
      <c r="B54" s="61" t="s">
        <v>123</v>
      </c>
      <c r="C54" s="61"/>
      <c r="D54" s="61"/>
      <c r="E54" s="61" t="s">
        <v>105</v>
      </c>
      <c r="F54" s="61"/>
      <c r="G54" s="88" t="s">
        <v>129</v>
      </c>
      <c r="H54" s="89"/>
      <c r="I54" s="90"/>
      <c r="J54" s="26">
        <f>(J36+J50+J52)/9</f>
        <v>14.388333333333334</v>
      </c>
    </row>
    <row r="55" spans="1:10" ht="30" customHeight="1">
      <c r="A55" s="23" t="s">
        <v>61</v>
      </c>
      <c r="B55" s="79" t="s">
        <v>124</v>
      </c>
      <c r="C55" s="79"/>
      <c r="D55" s="79"/>
      <c r="E55" s="79" t="s">
        <v>106</v>
      </c>
      <c r="F55" s="79"/>
      <c r="G55" s="73" t="s">
        <v>130</v>
      </c>
      <c r="H55" s="73"/>
      <c r="I55" s="73"/>
      <c r="J55" s="25">
        <f>(J36+J37+J47+J53+J51)*30.2%</f>
        <v>46.286533333333324</v>
      </c>
    </row>
    <row r="56" spans="1:10" ht="30" customHeight="1">
      <c r="A56" s="24" t="s">
        <v>61</v>
      </c>
      <c r="B56" s="65" t="s">
        <v>125</v>
      </c>
      <c r="C56" s="65"/>
      <c r="D56" s="65"/>
      <c r="E56" s="65" t="s">
        <v>106</v>
      </c>
      <c r="F56" s="65"/>
      <c r="G56" s="66" t="s">
        <v>131</v>
      </c>
      <c r="H56" s="66"/>
      <c r="I56" s="66"/>
      <c r="J56" s="27">
        <f>(J36+J50+J52+J54)*30.2%</f>
        <v>43.45276666666666</v>
      </c>
    </row>
    <row r="58" spans="1:9" ht="15">
      <c r="A58" s="1" t="s">
        <v>132</v>
      </c>
      <c r="F58" s="1" t="s">
        <v>107</v>
      </c>
      <c r="G58" s="13" t="s">
        <v>62</v>
      </c>
      <c r="H58" s="14">
        <f>(J36+J37+J51+J53+J55+J47)*J18</f>
        <v>269.39682</v>
      </c>
      <c r="I58" s="1" t="s">
        <v>63</v>
      </c>
    </row>
    <row r="59" spans="1:9" ht="15">
      <c r="A59" s="1" t="s">
        <v>133</v>
      </c>
      <c r="F59" s="1" t="s">
        <v>108</v>
      </c>
      <c r="G59" s="13" t="s">
        <v>62</v>
      </c>
      <c r="H59" s="14">
        <f>(J36+J50+J52+J54+J56)*J23</f>
        <v>346.571785</v>
      </c>
      <c r="I59" s="1" t="s">
        <v>63</v>
      </c>
    </row>
    <row r="60" spans="1:9" ht="15" hidden="1">
      <c r="A60" s="1" t="s">
        <v>64</v>
      </c>
      <c r="G60" s="13" t="s">
        <v>62</v>
      </c>
      <c r="H60" s="14" t="e">
        <f>(125.31+8.35+40.51+14.51+58.98)*#REF!</f>
        <v>#REF!</v>
      </c>
      <c r="I60" s="1" t="s">
        <v>63</v>
      </c>
    </row>
    <row r="61" spans="7:8" ht="9.75" customHeight="1">
      <c r="G61" s="13"/>
      <c r="H61" s="14"/>
    </row>
    <row r="62" ht="15">
      <c r="A62" s="2" t="s">
        <v>65</v>
      </c>
    </row>
    <row r="64" spans="7:12" ht="15">
      <c r="G64" s="91" t="s">
        <v>142</v>
      </c>
      <c r="H64" s="91"/>
      <c r="I64" s="91"/>
      <c r="J64" s="91"/>
      <c r="K64" s="91"/>
      <c r="L64" s="91"/>
    </row>
    <row r="65" spans="7:12" ht="15">
      <c r="G65" s="91" t="s">
        <v>143</v>
      </c>
      <c r="H65" s="91"/>
      <c r="I65" s="91"/>
      <c r="J65" s="91"/>
      <c r="K65" s="91"/>
      <c r="L65" s="91"/>
    </row>
    <row r="67" ht="15">
      <c r="A67" s="2" t="s">
        <v>66</v>
      </c>
    </row>
    <row r="69" ht="15">
      <c r="C69" s="1" t="s">
        <v>134</v>
      </c>
    </row>
    <row r="70" spans="3:8" ht="15">
      <c r="C70" s="1" t="s">
        <v>135</v>
      </c>
      <c r="H70" s="1" t="s">
        <v>67</v>
      </c>
    </row>
    <row r="72" spans="1:9" ht="15">
      <c r="A72" s="1" t="s">
        <v>68</v>
      </c>
      <c r="E72" s="14"/>
      <c r="F72" s="14">
        <f>H58*J28*J11</f>
        <v>1778019.0119999999</v>
      </c>
      <c r="G72" s="1" t="s">
        <v>69</v>
      </c>
      <c r="I72" s="14"/>
    </row>
    <row r="73" spans="1:9" ht="15">
      <c r="A73" s="92" t="s">
        <v>110</v>
      </c>
      <c r="B73" s="92"/>
      <c r="C73" s="92"/>
      <c r="D73" s="92"/>
      <c r="E73" s="92"/>
      <c r="F73" s="14">
        <f>H59*J29*J12</f>
        <v>1143686.8905</v>
      </c>
      <c r="G73" s="1" t="s">
        <v>15</v>
      </c>
      <c r="I73" s="14"/>
    </row>
    <row r="74" spans="1:8" ht="15" hidden="1">
      <c r="A74" s="2" t="s">
        <v>70</v>
      </c>
      <c r="F74" s="14" t="e">
        <f>H60*#REF!*#REF!</f>
        <v>#REF!</v>
      </c>
      <c r="G74" s="1" t="s">
        <v>15</v>
      </c>
      <c r="H74" s="1" t="s">
        <v>71</v>
      </c>
    </row>
    <row r="75" spans="1:8" ht="15" hidden="1">
      <c r="A75" s="1" t="s">
        <v>72</v>
      </c>
      <c r="F75" s="14" t="e">
        <f>H60*#REF!*J13</f>
        <v>#REF!</v>
      </c>
      <c r="G75" s="1" t="s">
        <v>15</v>
      </c>
      <c r="H75" s="1" t="s">
        <v>71</v>
      </c>
    </row>
    <row r="76" spans="1:8" ht="15" hidden="1">
      <c r="A76" s="1" t="s">
        <v>73</v>
      </c>
      <c r="F76" s="14" t="e">
        <f>H60*#REF!*#REF!</f>
        <v>#REF!</v>
      </c>
      <c r="G76" s="1" t="s">
        <v>15</v>
      </c>
      <c r="H76" s="1" t="s">
        <v>71</v>
      </c>
    </row>
    <row r="77" ht="15">
      <c r="F77" s="14"/>
    </row>
    <row r="78" ht="15">
      <c r="A78" s="2" t="s">
        <v>74</v>
      </c>
    </row>
    <row r="79" spans="1:4" ht="15">
      <c r="A79" s="2" t="s">
        <v>75</v>
      </c>
      <c r="C79" s="15" t="s">
        <v>76</v>
      </c>
      <c r="D79" s="1" t="s">
        <v>136</v>
      </c>
    </row>
    <row r="80" ht="15">
      <c r="D80" s="1" t="s">
        <v>137</v>
      </c>
    </row>
    <row r="81" spans="1:6" ht="12.75" customHeight="1">
      <c r="A81" s="1" t="s">
        <v>77</v>
      </c>
      <c r="B81" s="16"/>
      <c r="C81" s="14"/>
      <c r="D81" s="1" t="s">
        <v>62</v>
      </c>
      <c r="E81" s="14">
        <f>F72*0.2</f>
        <v>355603.8024</v>
      </c>
      <c r="F81" s="1" t="s">
        <v>15</v>
      </c>
    </row>
    <row r="82" spans="1:6" ht="12.75" customHeight="1">
      <c r="A82" s="1" t="s">
        <v>111</v>
      </c>
      <c r="B82" s="16"/>
      <c r="C82" s="14"/>
      <c r="D82" s="1" t="s">
        <v>62</v>
      </c>
      <c r="E82" s="14">
        <f>F73*0.2</f>
        <v>228737.3781</v>
      </c>
      <c r="F82" s="1" t="s">
        <v>15</v>
      </c>
    </row>
    <row r="83" spans="1:6" ht="12.75" customHeight="1" hidden="1">
      <c r="A83" s="2" t="s">
        <v>78</v>
      </c>
      <c r="B83" s="16"/>
      <c r="C83" s="14"/>
      <c r="D83" s="1" t="s">
        <v>62</v>
      </c>
      <c r="E83" s="14" t="e">
        <f>F74*0.2</f>
        <v>#REF!</v>
      </c>
      <c r="F83" s="1" t="s">
        <v>15</v>
      </c>
    </row>
    <row r="84" spans="1:6" ht="12.75" customHeight="1" hidden="1">
      <c r="A84" s="1" t="s">
        <v>79</v>
      </c>
      <c r="B84" s="16"/>
      <c r="C84" s="14"/>
      <c r="D84" s="1" t="s">
        <v>62</v>
      </c>
      <c r="E84" s="14" t="e">
        <f>F75*0.2</f>
        <v>#REF!</v>
      </c>
      <c r="F84" s="1" t="s">
        <v>15</v>
      </c>
    </row>
    <row r="85" spans="1:6" ht="12.75" customHeight="1" hidden="1">
      <c r="A85" s="1" t="s">
        <v>80</v>
      </c>
      <c r="B85" s="16"/>
      <c r="C85" s="14"/>
      <c r="D85" s="1" t="s">
        <v>62</v>
      </c>
      <c r="E85" s="14" t="e">
        <f>F76*0.2</f>
        <v>#REF!</v>
      </c>
      <c r="F85" s="1" t="s">
        <v>15</v>
      </c>
    </row>
    <row r="86" spans="5:6" ht="12.75" customHeight="1">
      <c r="E86" s="14"/>
      <c r="F86" s="17"/>
    </row>
    <row r="87" ht="15">
      <c r="A87" s="2" t="s">
        <v>81</v>
      </c>
    </row>
    <row r="88" spans="1:9" ht="18.75">
      <c r="A88" s="18" t="s">
        <v>82</v>
      </c>
      <c r="F88" s="1" t="s">
        <v>138</v>
      </c>
      <c r="I88" s="14">
        <f>((F72+E81+E90)*0.2)*1</f>
        <v>448060.79102400003</v>
      </c>
    </row>
    <row r="89" spans="6:9" ht="15">
      <c r="F89" s="1" t="s">
        <v>139</v>
      </c>
      <c r="I89" s="14">
        <f>((F73+E82+E91)*0.2)*1</f>
        <v>288209.096406</v>
      </c>
    </row>
    <row r="90" spans="1:6" ht="15">
      <c r="A90" s="1" t="s">
        <v>170</v>
      </c>
      <c r="D90" s="1" t="s">
        <v>62</v>
      </c>
      <c r="E90" s="14">
        <f>(F72+E81)*0.05</f>
        <v>106681.14072000001</v>
      </c>
      <c r="F90" s="1" t="s">
        <v>15</v>
      </c>
    </row>
    <row r="91" spans="1:6" ht="15">
      <c r="A91" s="1" t="s">
        <v>171</v>
      </c>
      <c r="D91" s="1" t="s">
        <v>62</v>
      </c>
      <c r="E91" s="14">
        <f>(F73+E82)*0.05</f>
        <v>68621.21343</v>
      </c>
      <c r="F91" s="1" t="s">
        <v>15</v>
      </c>
    </row>
    <row r="92" spans="1:6" ht="15" hidden="1">
      <c r="A92" s="2" t="s">
        <v>83</v>
      </c>
      <c r="C92" s="14"/>
      <c r="D92" s="1" t="s">
        <v>62</v>
      </c>
      <c r="E92" s="14" t="e">
        <f>(F74+E83)*0.05</f>
        <v>#REF!</v>
      </c>
      <c r="F92" s="1" t="s">
        <v>15</v>
      </c>
    </row>
    <row r="93" spans="1:6" ht="15" hidden="1">
      <c r="A93" s="1" t="s">
        <v>84</v>
      </c>
      <c r="C93" s="14"/>
      <c r="D93" s="1" t="s">
        <v>62</v>
      </c>
      <c r="E93" s="14" t="e">
        <f>(F75+E84)*0.05</f>
        <v>#REF!</v>
      </c>
      <c r="F93" s="1" t="s">
        <v>15</v>
      </c>
    </row>
    <row r="94" spans="1:6" ht="15" hidden="1">
      <c r="A94" s="1" t="s">
        <v>85</v>
      </c>
      <c r="C94" s="14"/>
      <c r="D94" s="1" t="s">
        <v>62</v>
      </c>
      <c r="E94" s="14" t="e">
        <f>(F76+E85)*0.05</f>
        <v>#REF!</v>
      </c>
      <c r="F94" s="1" t="s">
        <v>15</v>
      </c>
    </row>
    <row r="95" ht="15">
      <c r="E95" s="14"/>
    </row>
    <row r="96" ht="15">
      <c r="A96" s="2" t="s">
        <v>86</v>
      </c>
    </row>
    <row r="97" spans="1:2" ht="15">
      <c r="A97" s="2"/>
      <c r="B97" s="1" t="s">
        <v>140</v>
      </c>
    </row>
    <row r="98" spans="1:4" ht="15">
      <c r="A98" s="2"/>
      <c r="D98" s="1" t="s">
        <v>141</v>
      </c>
    </row>
    <row r="100" spans="1:6" ht="15">
      <c r="A100" s="1" t="s">
        <v>168</v>
      </c>
      <c r="C100" s="15"/>
      <c r="D100" s="14" t="s">
        <v>62</v>
      </c>
      <c r="E100" s="19">
        <f>((F72+E81+E90)*1)+I88</f>
        <v>2688364.746144</v>
      </c>
      <c r="F100" s="1" t="s">
        <v>15</v>
      </c>
    </row>
    <row r="101" spans="1:9" ht="15">
      <c r="A101" s="1" t="s">
        <v>169</v>
      </c>
      <c r="C101" s="15"/>
      <c r="D101" s="14" t="s">
        <v>62</v>
      </c>
      <c r="E101" s="20">
        <f>((F73+E82+E91)*1)+I89</f>
        <v>1729254.578436</v>
      </c>
      <c r="F101" s="1" t="s">
        <v>15</v>
      </c>
      <c r="G101" s="1" t="s">
        <v>90</v>
      </c>
      <c r="H101" s="14">
        <f>E100+E101</f>
        <v>4417619.32458</v>
      </c>
      <c r="I101" s="1" t="s">
        <v>15</v>
      </c>
    </row>
    <row r="102" spans="1:6" ht="15" hidden="1">
      <c r="A102" s="2" t="s">
        <v>87</v>
      </c>
      <c r="C102" s="14"/>
      <c r="D102" s="14" t="s">
        <v>62</v>
      </c>
      <c r="E102" s="20" t="e">
        <f>(F74+E83+E92)*(#REF!/100)+((F74+E83+E92)*(#REF!/100))*20%</f>
        <v>#REF!</v>
      </c>
      <c r="F102" s="1" t="s">
        <v>15</v>
      </c>
    </row>
    <row r="103" spans="1:6" ht="15" hidden="1">
      <c r="A103" s="1" t="s">
        <v>88</v>
      </c>
      <c r="C103" s="14"/>
      <c r="D103" s="14" t="s">
        <v>62</v>
      </c>
      <c r="E103" s="20" t="e">
        <f>(F75+E84+E93)*($J$15/100)+((F75+E84+E93)*($J$15/100))*20%</f>
        <v>#REF!</v>
      </c>
      <c r="F103" s="1" t="s">
        <v>15</v>
      </c>
    </row>
    <row r="104" spans="1:6" ht="15" hidden="1">
      <c r="A104" s="1" t="s">
        <v>89</v>
      </c>
      <c r="C104" s="14"/>
      <c r="D104" s="14" t="s">
        <v>62</v>
      </c>
      <c r="E104" s="20" t="e">
        <f>(F76+E85+E94)*(#REF!/100)+((F76+E85+E94)*(#REF!/100))*20%</f>
        <v>#REF!</v>
      </c>
      <c r="F104" s="1" t="s">
        <v>15</v>
      </c>
    </row>
    <row r="106" spans="1:12" ht="15" customHeight="1">
      <c r="A106" s="55" t="s">
        <v>144</v>
      </c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</row>
    <row r="107" spans="1:12" ht="15">
      <c r="A107" s="56" t="s">
        <v>175</v>
      </c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</row>
    <row r="108" spans="1:9" ht="12" customHeight="1">
      <c r="A108" s="28"/>
      <c r="B108" s="28"/>
      <c r="C108" s="28"/>
      <c r="D108" s="28"/>
      <c r="E108" s="28"/>
      <c r="F108" s="28"/>
      <c r="G108" s="28"/>
      <c r="H108" s="28"/>
      <c r="I108" s="28"/>
    </row>
    <row r="109" spans="1:12" ht="15">
      <c r="A109" s="57" t="s">
        <v>145</v>
      </c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</row>
    <row r="111" spans="1:13" ht="49.5" customHeight="1">
      <c r="A111" s="53" t="s">
        <v>146</v>
      </c>
      <c r="B111" s="51" t="s">
        <v>147</v>
      </c>
      <c r="C111" s="53" t="s">
        <v>148</v>
      </c>
      <c r="D111" s="53" t="s">
        <v>149</v>
      </c>
      <c r="E111" s="53" t="s">
        <v>150</v>
      </c>
      <c r="F111" s="53" t="s">
        <v>151</v>
      </c>
      <c r="G111" s="42" t="s">
        <v>160</v>
      </c>
      <c r="H111" s="43"/>
      <c r="I111" s="43"/>
      <c r="J111" s="42" t="s">
        <v>161</v>
      </c>
      <c r="K111" s="43"/>
      <c r="L111" s="44"/>
      <c r="M111" s="45" t="s">
        <v>162</v>
      </c>
    </row>
    <row r="112" spans="1:13" ht="57" customHeight="1">
      <c r="A112" s="53"/>
      <c r="B112" s="52"/>
      <c r="C112" s="53"/>
      <c r="D112" s="53"/>
      <c r="E112" s="53"/>
      <c r="F112" s="53"/>
      <c r="G112" s="29" t="s">
        <v>163</v>
      </c>
      <c r="H112" s="29" t="s">
        <v>164</v>
      </c>
      <c r="I112" s="29" t="s">
        <v>165</v>
      </c>
      <c r="J112" s="37" t="s">
        <v>152</v>
      </c>
      <c r="K112" s="37" t="s">
        <v>166</v>
      </c>
      <c r="L112" s="38" t="s">
        <v>167</v>
      </c>
      <c r="M112" s="46"/>
    </row>
    <row r="113" spans="1:17" ht="94.5" customHeight="1">
      <c r="A113" s="30">
        <v>1</v>
      </c>
      <c r="B113" s="31" t="s">
        <v>153</v>
      </c>
      <c r="C113" s="31" t="s">
        <v>154</v>
      </c>
      <c r="D113" s="32" t="s">
        <v>155</v>
      </c>
      <c r="E113" s="30" t="s">
        <v>156</v>
      </c>
      <c r="F113" s="33">
        <f>3672+720</f>
        <v>4392</v>
      </c>
      <c r="G113" s="34">
        <v>165</v>
      </c>
      <c r="H113" s="34">
        <v>103.33</v>
      </c>
      <c r="I113" s="34">
        <v>189</v>
      </c>
      <c r="J113" s="35">
        <f>(G113+H113+I113)/3</f>
        <v>152.44333333333333</v>
      </c>
      <c r="K113" s="36">
        <f>_xlfn.IFERROR(STDEV($G113:I113),"")</f>
        <v>44.19377369419064</v>
      </c>
      <c r="L113" s="39">
        <f>IF(J113&lt;&gt;"",K113/J113*100,"")</f>
        <v>28.99029608435308</v>
      </c>
      <c r="M113" s="40">
        <v>669516.48</v>
      </c>
      <c r="Q113" s="14">
        <f>F113*152.44</f>
        <v>669516.48</v>
      </c>
    </row>
    <row r="114" spans="1:17" ht="90">
      <c r="A114" s="30">
        <v>2</v>
      </c>
      <c r="B114" s="31" t="s">
        <v>153</v>
      </c>
      <c r="C114" s="31" t="s">
        <v>154</v>
      </c>
      <c r="D114" s="32" t="s">
        <v>157</v>
      </c>
      <c r="E114" s="30" t="s">
        <v>156</v>
      </c>
      <c r="F114" s="33">
        <f>F113/2</f>
        <v>2196</v>
      </c>
      <c r="G114" s="34">
        <v>165</v>
      </c>
      <c r="H114" s="34">
        <v>103.33</v>
      </c>
      <c r="I114" s="34">
        <v>189</v>
      </c>
      <c r="J114" s="35">
        <f>(G114+H114+I114)/3</f>
        <v>152.44333333333333</v>
      </c>
      <c r="K114" s="36">
        <f>_xlfn.IFERROR(STDEV($G114:I114),"")</f>
        <v>44.19377369419064</v>
      </c>
      <c r="L114" s="39">
        <f>IF(J114&lt;&gt;"",K114/J114*100,"")</f>
        <v>28.99029608435308</v>
      </c>
      <c r="M114" s="40">
        <v>334758.24</v>
      </c>
      <c r="Q114" s="14">
        <f>F114*152.44</f>
        <v>334758.24</v>
      </c>
    </row>
    <row r="115" spans="1:13" ht="15">
      <c r="A115" s="47" t="s">
        <v>158</v>
      </c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9"/>
      <c r="M115" s="40">
        <f>M113+M114</f>
        <v>1004274.72</v>
      </c>
    </row>
    <row r="116" spans="1:13" ht="15">
      <c r="A116" s="47" t="s">
        <v>159</v>
      </c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9"/>
      <c r="M116" s="40">
        <f>M115</f>
        <v>1004274.72</v>
      </c>
    </row>
    <row r="118" spans="1:4" ht="15">
      <c r="A118" s="54" t="s">
        <v>174</v>
      </c>
      <c r="B118" s="54"/>
      <c r="C118" s="54"/>
      <c r="D118" s="54"/>
    </row>
    <row r="119" spans="1:4" ht="15">
      <c r="A119" s="54" t="s">
        <v>172</v>
      </c>
      <c r="B119" s="54"/>
      <c r="C119" s="54"/>
      <c r="D119" s="54"/>
    </row>
    <row r="120" spans="1:4" ht="15">
      <c r="A120" s="54" t="s">
        <v>173</v>
      </c>
      <c r="B120" s="54"/>
      <c r="C120" s="54"/>
      <c r="D120" s="54"/>
    </row>
  </sheetData>
  <sheetProtection selectLockedCells="1" selectUnlockedCells="1"/>
  <mergeCells count="117">
    <mergeCell ref="A6:L6"/>
    <mergeCell ref="A9:J9"/>
    <mergeCell ref="B52:D52"/>
    <mergeCell ref="E52:F52"/>
    <mergeCell ref="G52:I52"/>
    <mergeCell ref="A47:A49"/>
    <mergeCell ref="B47:D49"/>
    <mergeCell ref="E47:F49"/>
    <mergeCell ref="G47:I47"/>
    <mergeCell ref="J47:J49"/>
    <mergeCell ref="G64:L64"/>
    <mergeCell ref="G65:L65"/>
    <mergeCell ref="A73:E73"/>
    <mergeCell ref="A7:L7"/>
    <mergeCell ref="B53:D53"/>
    <mergeCell ref="E53:F53"/>
    <mergeCell ref="G53:I53"/>
    <mergeCell ref="B55:D55"/>
    <mergeCell ref="E50:F50"/>
    <mergeCell ref="G50:I50"/>
    <mergeCell ref="E55:F55"/>
    <mergeCell ref="G55:I55"/>
    <mergeCell ref="B51:D51"/>
    <mergeCell ref="E51:F51"/>
    <mergeCell ref="G51:I51"/>
    <mergeCell ref="B50:D50"/>
    <mergeCell ref="G54:I54"/>
    <mergeCell ref="G48:I48"/>
    <mergeCell ref="G49:I49"/>
    <mergeCell ref="G43:I43"/>
    <mergeCell ref="G44:I44"/>
    <mergeCell ref="G45:I45"/>
    <mergeCell ref="G46:I46"/>
    <mergeCell ref="A37:A46"/>
    <mergeCell ref="B37:D46"/>
    <mergeCell ref="E37:F46"/>
    <mergeCell ref="G37:I37"/>
    <mergeCell ref="J37:J46"/>
    <mergeCell ref="G38:I38"/>
    <mergeCell ref="G39:I39"/>
    <mergeCell ref="G40:I40"/>
    <mergeCell ref="G41:I41"/>
    <mergeCell ref="G42:I42"/>
    <mergeCell ref="B30:E30"/>
    <mergeCell ref="F30:H30"/>
    <mergeCell ref="B35:D35"/>
    <mergeCell ref="E35:F35"/>
    <mergeCell ref="G35:I35"/>
    <mergeCell ref="B36:D36"/>
    <mergeCell ref="E36:F36"/>
    <mergeCell ref="G36:I36"/>
    <mergeCell ref="B26:E26"/>
    <mergeCell ref="F26:H26"/>
    <mergeCell ref="B28:E28"/>
    <mergeCell ref="F28:H28"/>
    <mergeCell ref="B29:E29"/>
    <mergeCell ref="F29:H29"/>
    <mergeCell ref="B27:E27"/>
    <mergeCell ref="F27:H27"/>
    <mergeCell ref="B23:E23"/>
    <mergeCell ref="F23:H23"/>
    <mergeCell ref="B24:E24"/>
    <mergeCell ref="F24:H24"/>
    <mergeCell ref="B25:E25"/>
    <mergeCell ref="F25:H25"/>
    <mergeCell ref="B20:E20"/>
    <mergeCell ref="F20:H20"/>
    <mergeCell ref="B21:E21"/>
    <mergeCell ref="F21:H21"/>
    <mergeCell ref="B22:E22"/>
    <mergeCell ref="F22:H22"/>
    <mergeCell ref="B17:E17"/>
    <mergeCell ref="F17:H17"/>
    <mergeCell ref="B18:E18"/>
    <mergeCell ref="F18:H18"/>
    <mergeCell ref="B19:E19"/>
    <mergeCell ref="F19:H19"/>
    <mergeCell ref="F111:F112"/>
    <mergeCell ref="B56:D56"/>
    <mergeCell ref="E56:F56"/>
    <mergeCell ref="G56:I56"/>
    <mergeCell ref="G111:I111"/>
    <mergeCell ref="B12:E12"/>
    <mergeCell ref="F12:H12"/>
    <mergeCell ref="B13:E13"/>
    <mergeCell ref="F13:H13"/>
    <mergeCell ref="B14:E14"/>
    <mergeCell ref="F10:H10"/>
    <mergeCell ref="B11:E11"/>
    <mergeCell ref="F11:H11"/>
    <mergeCell ref="B54:D54"/>
    <mergeCell ref="E54:F54"/>
    <mergeCell ref="B15:E15"/>
    <mergeCell ref="F15:H15"/>
    <mergeCell ref="B16:E16"/>
    <mergeCell ref="F14:H14"/>
    <mergeCell ref="F16:H16"/>
    <mergeCell ref="A118:D118"/>
    <mergeCell ref="A119:D119"/>
    <mergeCell ref="A120:D120"/>
    <mergeCell ref="C2:M2"/>
    <mergeCell ref="C3:M3"/>
    <mergeCell ref="D4:M4"/>
    <mergeCell ref="A106:L106"/>
    <mergeCell ref="A107:L107"/>
    <mergeCell ref="A109:L109"/>
    <mergeCell ref="A111:A112"/>
    <mergeCell ref="J111:L111"/>
    <mergeCell ref="M111:M112"/>
    <mergeCell ref="A115:L115"/>
    <mergeCell ref="A116:L116"/>
    <mergeCell ref="D1:M1"/>
    <mergeCell ref="B111:B112"/>
    <mergeCell ref="C111:C112"/>
    <mergeCell ref="D111:D112"/>
    <mergeCell ref="E111:E112"/>
    <mergeCell ref="B10:E10"/>
  </mergeCells>
  <printOptions/>
  <pageMargins left="0.9055118110236221" right="0.31496062992125984" top="0.3937007874015748" bottom="0.3937007874015748" header="0.5118110236220472" footer="0.5118110236220472"/>
  <pageSetup horizontalDpi="600" verticalDpi="600" orientation="landscape" paperSize="9" scale="64" r:id="rId2"/>
  <rowBreaks count="1" manualBreakCount="1">
    <brk id="66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Ибрагимов Адыхам Рафхатович</dc:creator>
  <cp:keywords/>
  <dc:description/>
  <cp:lastModifiedBy>Ольга Евгеньевна Климова</cp:lastModifiedBy>
  <cp:lastPrinted>2022-03-03T08:49:50Z</cp:lastPrinted>
  <dcterms:created xsi:type="dcterms:W3CDTF">2021-11-10T10:33:08Z</dcterms:created>
  <dcterms:modified xsi:type="dcterms:W3CDTF">2022-03-03T09:18:37Z</dcterms:modified>
  <cp:category/>
  <cp:version/>
  <cp:contentType/>
  <cp:contentStatus/>
</cp:coreProperties>
</file>