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000" windowHeight="11595" activeTab="5"/>
  </bookViews>
  <sheets>
    <sheet name="ЗП" sheetId="2" r:id="rId1"/>
    <sheet name="ГОРЛЕС" sheetId="1" r:id="rId2"/>
    <sheet name="прил 1" sheetId="3" r:id="rId3"/>
    <sheet name="прил 2" sheetId="4" r:id="rId4"/>
    <sheet name="прил 3" sheetId="5" r:id="rId5"/>
    <sheet name="прил 4" sheetId="6" r:id="rId6"/>
    <sheet name="Лист5" sheetId="8" r:id="rId7"/>
  </sheets>
  <definedNames>
    <definedName name="_xlnm.Print_Area" localSheetId="2">'прил 1'!$A$1:$P$49</definedName>
    <definedName name="_xlnm.Print_Area" localSheetId="3">'прил 2'!$A$1:$D$85</definedName>
  </definedNames>
  <calcPr calcId="145621"/>
</workbook>
</file>

<file path=xl/calcChain.xml><?xml version="1.0" encoding="utf-8"?>
<calcChain xmlns="http://schemas.openxmlformats.org/spreadsheetml/2006/main">
  <c r="H18" i="6" l="1"/>
  <c r="H13" i="6" l="1"/>
  <c r="H89" i="5"/>
  <c r="H90" i="5"/>
  <c r="H91" i="5"/>
  <c r="H92" i="5"/>
  <c r="H94" i="5"/>
  <c r="H95" i="5"/>
  <c r="H97" i="5"/>
  <c r="H88" i="5"/>
  <c r="F85" i="5"/>
  <c r="H34" i="5"/>
  <c r="H33" i="5"/>
  <c r="H35" i="5"/>
  <c r="H36" i="5"/>
  <c r="H37" i="5"/>
  <c r="H39" i="5"/>
  <c r="H40" i="5"/>
  <c r="H42" i="5"/>
  <c r="E34" i="5"/>
  <c r="E33" i="5"/>
  <c r="E20" i="5"/>
  <c r="E75" i="5"/>
  <c r="E42" i="5" s="1"/>
  <c r="E64" i="5"/>
  <c r="E86" i="5"/>
  <c r="E53" i="5"/>
  <c r="E31" i="5"/>
  <c r="E97" i="5" l="1"/>
  <c r="E84" i="5"/>
  <c r="E51" i="5"/>
  <c r="E73" i="5"/>
  <c r="E18" i="5"/>
  <c r="E89" i="5"/>
  <c r="E88" i="5"/>
  <c r="D90" i="5"/>
  <c r="D91" i="5"/>
  <c r="D92" i="5"/>
  <c r="D93" i="5"/>
  <c r="D94" i="5"/>
  <c r="D95" i="5"/>
  <c r="D96" i="5"/>
  <c r="D97" i="5"/>
  <c r="O36" i="3"/>
  <c r="O20" i="3"/>
  <c r="K22" i="1"/>
  <c r="K19" i="1"/>
  <c r="D28" i="2"/>
  <c r="D26" i="2"/>
  <c r="D19" i="2"/>
  <c r="D18" i="2"/>
  <c r="D17" i="2"/>
  <c r="E40" i="5" l="1"/>
  <c r="E95" i="5"/>
  <c r="E10" i="5"/>
  <c r="E29" i="5"/>
  <c r="D35" i="5" l="1"/>
  <c r="D36" i="5"/>
  <c r="D37" i="5"/>
  <c r="D38" i="5"/>
  <c r="D39" i="5"/>
  <c r="D40" i="5"/>
  <c r="D41" i="5"/>
  <c r="D42" i="5"/>
  <c r="E45" i="3"/>
  <c r="E43" i="3"/>
  <c r="E42" i="3"/>
  <c r="D35" i="3"/>
  <c r="D34" i="3"/>
  <c r="M20" i="3"/>
  <c r="D23" i="3"/>
  <c r="H23" i="3" s="1"/>
  <c r="C13" i="3"/>
  <c r="C36" i="3"/>
  <c r="C33" i="3"/>
  <c r="C20" i="3"/>
  <c r="M34" i="3"/>
  <c r="M33" i="3" s="1"/>
  <c r="K34" i="3"/>
  <c r="K33" i="3" s="1"/>
  <c r="I34" i="3"/>
  <c r="I33" i="3" s="1"/>
  <c r="G34" i="3"/>
  <c r="G33" i="3" s="1"/>
  <c r="E34" i="3"/>
  <c r="O34" i="3" s="1"/>
  <c r="O33" i="3" s="1"/>
  <c r="S34" i="3"/>
  <c r="K21" i="3"/>
  <c r="K20" i="3" s="1"/>
  <c r="I21" i="3"/>
  <c r="I20" i="3" s="1"/>
  <c r="G21" i="3"/>
  <c r="E21" i="3"/>
  <c r="E20" i="3" s="1"/>
  <c r="G23" i="3"/>
  <c r="G22" i="3"/>
  <c r="G20" i="3" l="1"/>
  <c r="E33" i="3"/>
  <c r="D33" i="3"/>
  <c r="P34" i="3"/>
  <c r="N34" i="3"/>
  <c r="L35" i="3"/>
  <c r="P35" i="3"/>
  <c r="N35" i="3"/>
  <c r="H35" i="3"/>
  <c r="C12" i="3"/>
  <c r="F35" i="3"/>
  <c r="J35" i="3"/>
  <c r="J23" i="3"/>
  <c r="R23" i="3" s="1"/>
  <c r="S35" i="3"/>
  <c r="J34" i="3"/>
  <c r="L34" i="3"/>
  <c r="F34" i="3"/>
  <c r="H34" i="3"/>
  <c r="H33" i="3" s="1"/>
  <c r="S23" i="3"/>
  <c r="L33" i="3" l="1"/>
  <c r="R35" i="3"/>
  <c r="Q35" i="3" s="1"/>
  <c r="R34" i="3"/>
  <c r="F33" i="3"/>
  <c r="P33" i="3"/>
  <c r="N33" i="3"/>
  <c r="J33" i="3"/>
  <c r="Q23" i="3"/>
  <c r="Q34" i="3"/>
  <c r="D14" i="3" l="1"/>
  <c r="K21" i="1"/>
  <c r="P14" i="3" l="1"/>
  <c r="N14" i="3"/>
  <c r="J10" i="1"/>
  <c r="L10" i="1"/>
  <c r="N10" i="1" s="1"/>
  <c r="N15" i="1"/>
  <c r="N21" i="1"/>
  <c r="N23" i="1"/>
  <c r="J5" i="1"/>
  <c r="D22" i="3"/>
  <c r="G20" i="2"/>
  <c r="H20" i="2" s="1"/>
  <c r="H22" i="3" l="1"/>
  <c r="R22" i="3" s="1"/>
  <c r="F22" i="3"/>
  <c r="S22" i="3"/>
  <c r="G19" i="2"/>
  <c r="D21" i="3"/>
  <c r="I24" i="1"/>
  <c r="O5" i="1"/>
  <c r="J19" i="1"/>
  <c r="L19" i="1" s="1"/>
  <c r="N19" i="1" s="1"/>
  <c r="N21" i="3" l="1"/>
  <c r="P21" i="3"/>
  <c r="G21" i="2"/>
  <c r="H19" i="2"/>
  <c r="D20" i="3"/>
  <c r="L21" i="3"/>
  <c r="L20" i="3" s="1"/>
  <c r="F21" i="3"/>
  <c r="H21" i="3"/>
  <c r="H20" i="3" s="1"/>
  <c r="J21" i="3"/>
  <c r="J20" i="3" s="1"/>
  <c r="S21" i="3"/>
  <c r="Q22" i="3"/>
  <c r="G84" i="4"/>
  <c r="M19" i="6"/>
  <c r="M20" i="6"/>
  <c r="M21" i="6"/>
  <c r="M22" i="6"/>
  <c r="M23" i="6"/>
  <c r="M24" i="6"/>
  <c r="M25" i="6"/>
  <c r="M26" i="6"/>
  <c r="M27" i="6"/>
  <c r="M28" i="6"/>
  <c r="M29" i="6"/>
  <c r="M30" i="6"/>
  <c r="F74" i="5"/>
  <c r="F63" i="5"/>
  <c r="E74" i="5"/>
  <c r="E72" i="5"/>
  <c r="E71" i="5"/>
  <c r="E70" i="5"/>
  <c r="E69" i="5"/>
  <c r="E68" i="5"/>
  <c r="C19" i="4"/>
  <c r="E39" i="3"/>
  <c r="K30" i="3"/>
  <c r="K31" i="3"/>
  <c r="K32" i="3"/>
  <c r="K29" i="3"/>
  <c r="I30" i="3"/>
  <c r="I31" i="3"/>
  <c r="I32" i="3"/>
  <c r="I29" i="3"/>
  <c r="G30" i="3"/>
  <c r="G31" i="3"/>
  <c r="G32" i="3"/>
  <c r="G29" i="3"/>
  <c r="E30" i="3"/>
  <c r="E31" i="3"/>
  <c r="E32" i="3"/>
  <c r="E29" i="3"/>
  <c r="K37" i="3"/>
  <c r="K39" i="3"/>
  <c r="K40" i="3"/>
  <c r="K41" i="3"/>
  <c r="K44" i="3"/>
  <c r="I37" i="3"/>
  <c r="I39" i="3"/>
  <c r="I40" i="3"/>
  <c r="I41" i="3"/>
  <c r="I44" i="3"/>
  <c r="G37" i="3"/>
  <c r="G39" i="3"/>
  <c r="G40" i="3"/>
  <c r="G41" i="3"/>
  <c r="G44" i="3"/>
  <c r="E37" i="3"/>
  <c r="E40" i="3"/>
  <c r="E41" i="3"/>
  <c r="E44" i="3"/>
  <c r="E16" i="3"/>
  <c r="K15" i="3"/>
  <c r="K17" i="3"/>
  <c r="K18" i="3"/>
  <c r="K19" i="3"/>
  <c r="K14" i="3"/>
  <c r="I15" i="3"/>
  <c r="I17" i="3"/>
  <c r="I18" i="3"/>
  <c r="I19" i="3"/>
  <c r="I14" i="3"/>
  <c r="G15" i="3"/>
  <c r="G17" i="3"/>
  <c r="G18" i="3"/>
  <c r="G19" i="3"/>
  <c r="G14" i="3"/>
  <c r="E15" i="3"/>
  <c r="E17" i="3"/>
  <c r="O13" i="3" s="1"/>
  <c r="O12" i="3" s="1"/>
  <c r="E18" i="3"/>
  <c r="E19" i="3"/>
  <c r="E14" i="3"/>
  <c r="R21" i="3" l="1"/>
  <c r="O24" i="3"/>
  <c r="F20" i="3"/>
  <c r="P20" i="3"/>
  <c r="O28" i="3"/>
  <c r="O27" i="3" s="1"/>
  <c r="O49" i="3" s="1"/>
  <c r="M36" i="3"/>
  <c r="N20" i="3"/>
  <c r="Q21" i="3"/>
  <c r="I36" i="3"/>
  <c r="K36" i="3"/>
  <c r="E36" i="3"/>
  <c r="G36" i="3"/>
  <c r="C20" i="4" l="1"/>
  <c r="C18" i="4"/>
  <c r="D37" i="3"/>
  <c r="D38" i="3"/>
  <c r="D39" i="3"/>
  <c r="D40" i="3"/>
  <c r="D41" i="3"/>
  <c r="D42" i="3"/>
  <c r="D43" i="3"/>
  <c r="D44" i="3"/>
  <c r="D45" i="3"/>
  <c r="D30" i="3"/>
  <c r="D31" i="3"/>
  <c r="D32" i="3"/>
  <c r="D29" i="3"/>
  <c r="D15" i="3"/>
  <c r="D16" i="3"/>
  <c r="F16" i="3" s="1"/>
  <c r="R16" i="3" s="1"/>
  <c r="D17" i="3"/>
  <c r="D18" i="3"/>
  <c r="D19" i="3"/>
  <c r="S31" i="3" l="1"/>
  <c r="P31" i="3"/>
  <c r="N31" i="3"/>
  <c r="N43" i="3"/>
  <c r="P43" i="3"/>
  <c r="S39" i="3"/>
  <c r="N39" i="3"/>
  <c r="P39" i="3"/>
  <c r="S19" i="3"/>
  <c r="P19" i="3"/>
  <c r="N19" i="3"/>
  <c r="S15" i="3"/>
  <c r="P15" i="3"/>
  <c r="N15" i="3"/>
  <c r="P30" i="3"/>
  <c r="N30" i="3"/>
  <c r="N42" i="3"/>
  <c r="P42" i="3"/>
  <c r="N38" i="3"/>
  <c r="P38" i="3"/>
  <c r="S18" i="3"/>
  <c r="N18" i="3"/>
  <c r="P18" i="3"/>
  <c r="S29" i="3"/>
  <c r="N29" i="3"/>
  <c r="P29" i="3"/>
  <c r="P45" i="3"/>
  <c r="N45" i="3"/>
  <c r="S41" i="3"/>
  <c r="P41" i="3"/>
  <c r="N41" i="3"/>
  <c r="S37" i="3"/>
  <c r="N37" i="3"/>
  <c r="P37" i="3"/>
  <c r="P17" i="3"/>
  <c r="N17" i="3"/>
  <c r="P32" i="3"/>
  <c r="N32" i="3"/>
  <c r="S44" i="3"/>
  <c r="N44" i="3"/>
  <c r="P44" i="3"/>
  <c r="S40" i="3"/>
  <c r="N40" i="3"/>
  <c r="P40" i="3"/>
  <c r="F42" i="3"/>
  <c r="J42" i="3"/>
  <c r="L42" i="3"/>
  <c r="H42" i="3"/>
  <c r="J43" i="3"/>
  <c r="H43" i="3"/>
  <c r="L43" i="3"/>
  <c r="F43" i="3"/>
  <c r="J38" i="3"/>
  <c r="H38" i="3"/>
  <c r="L38" i="3"/>
  <c r="F38" i="3"/>
  <c r="F45" i="3"/>
  <c r="J45" i="3"/>
  <c r="L45" i="3"/>
  <c r="H45" i="3"/>
  <c r="D36" i="3"/>
  <c r="S45" i="3"/>
  <c r="S43" i="3"/>
  <c r="S16" i="3"/>
  <c r="Q16" i="3" s="1"/>
  <c r="L19" i="3"/>
  <c r="J19" i="3"/>
  <c r="H19" i="3"/>
  <c r="F19" i="3"/>
  <c r="L32" i="3"/>
  <c r="J32" i="3"/>
  <c r="H32" i="3"/>
  <c r="F32" i="3"/>
  <c r="L41" i="3"/>
  <c r="J41" i="3"/>
  <c r="H41" i="3"/>
  <c r="F41" i="3"/>
  <c r="S14" i="3"/>
  <c r="L14" i="3"/>
  <c r="J14" i="3"/>
  <c r="H14" i="3"/>
  <c r="F14" i="3"/>
  <c r="L17" i="3"/>
  <c r="J17" i="3"/>
  <c r="H17" i="3"/>
  <c r="F17" i="3"/>
  <c r="L29" i="3"/>
  <c r="J29" i="3"/>
  <c r="H29" i="3"/>
  <c r="F29" i="3"/>
  <c r="L15" i="3"/>
  <c r="J15" i="3"/>
  <c r="H15" i="3"/>
  <c r="F15" i="3"/>
  <c r="L30" i="3"/>
  <c r="J30" i="3"/>
  <c r="H30" i="3"/>
  <c r="F30" i="3"/>
  <c r="L39" i="3"/>
  <c r="J39" i="3"/>
  <c r="H39" i="3"/>
  <c r="F39" i="3"/>
  <c r="L37" i="3"/>
  <c r="J37" i="3"/>
  <c r="H37" i="3"/>
  <c r="F37" i="3"/>
  <c r="L18" i="3"/>
  <c r="J18" i="3"/>
  <c r="H18" i="3"/>
  <c r="F18" i="3"/>
  <c r="L31" i="3"/>
  <c r="J31" i="3"/>
  <c r="H31" i="3"/>
  <c r="F31" i="3"/>
  <c r="L44" i="3"/>
  <c r="J44" i="3"/>
  <c r="H44" i="3"/>
  <c r="F44" i="3"/>
  <c r="L40" i="3"/>
  <c r="J40" i="3"/>
  <c r="H40" i="3"/>
  <c r="F40" i="3"/>
  <c r="S42" i="3"/>
  <c r="S38" i="3"/>
  <c r="S17" i="3"/>
  <c r="S32" i="3"/>
  <c r="S30" i="3"/>
  <c r="R29" i="3" l="1"/>
  <c r="R44" i="3"/>
  <c r="Q44" i="3" s="1"/>
  <c r="R45" i="3"/>
  <c r="R43" i="3"/>
  <c r="Q43" i="3" s="1"/>
  <c r="R40" i="3"/>
  <c r="R41" i="3"/>
  <c r="R38" i="3"/>
  <c r="R19" i="3"/>
  <c r="R39" i="3"/>
  <c r="R31" i="3"/>
  <c r="R37" i="3"/>
  <c r="R42" i="3"/>
  <c r="R17" i="3"/>
  <c r="R30" i="3"/>
  <c r="Q30" i="3" s="1"/>
  <c r="R14" i="3"/>
  <c r="R32" i="3"/>
  <c r="Q32" i="3" s="1"/>
  <c r="R18" i="3"/>
  <c r="R15" i="3"/>
  <c r="P36" i="3"/>
  <c r="P28" i="3"/>
  <c r="P13" i="3"/>
  <c r="P12" i="3" s="1"/>
  <c r="P24" i="3" s="1"/>
  <c r="D77" i="5" s="1"/>
  <c r="Q45" i="3"/>
  <c r="Q42" i="3"/>
  <c r="Q38" i="3"/>
  <c r="N36" i="3"/>
  <c r="H36" i="3"/>
  <c r="J36" i="3"/>
  <c r="L36" i="3"/>
  <c r="F36" i="3"/>
  <c r="Q31" i="3"/>
  <c r="Q29" i="3"/>
  <c r="Q39" i="3"/>
  <c r="Q40" i="3"/>
  <c r="Q37" i="3"/>
  <c r="Q14" i="3"/>
  <c r="Q41" i="3"/>
  <c r="Q18" i="3"/>
  <c r="Q15" i="3"/>
  <c r="Q17" i="3"/>
  <c r="Q19" i="3"/>
  <c r="N28" i="3"/>
  <c r="M28" i="3"/>
  <c r="M27" i="3" s="1"/>
  <c r="N13" i="3"/>
  <c r="N12" i="3" s="1"/>
  <c r="N24" i="3" s="1"/>
  <c r="N25" i="3" s="1"/>
  <c r="M13" i="3"/>
  <c r="M12" i="3" s="1"/>
  <c r="M24" i="3" s="1"/>
  <c r="L28" i="3"/>
  <c r="K28" i="3"/>
  <c r="K27" i="3" s="1"/>
  <c r="L13" i="3"/>
  <c r="L12" i="3" s="1"/>
  <c r="L24" i="3" s="1"/>
  <c r="L25" i="3" s="1"/>
  <c r="K13" i="3"/>
  <c r="K12" i="3" s="1"/>
  <c r="K24" i="3" s="1"/>
  <c r="P25" i="3" l="1"/>
  <c r="D78" i="5" s="1"/>
  <c r="P46" i="3"/>
  <c r="F77" i="5" s="1"/>
  <c r="P27" i="3"/>
  <c r="N27" i="3"/>
  <c r="N46" i="3"/>
  <c r="N47" i="3" s="1"/>
  <c r="L27" i="3"/>
  <c r="L46" i="3"/>
  <c r="L47" i="3" s="1"/>
  <c r="D55" i="5"/>
  <c r="L26" i="3"/>
  <c r="D66" i="5"/>
  <c r="N26" i="3"/>
  <c r="G77" i="5" l="1"/>
  <c r="D76" i="5"/>
  <c r="D17" i="6" s="1"/>
  <c r="P49" i="3"/>
  <c r="P47" i="3"/>
  <c r="P26" i="3"/>
  <c r="M49" i="3"/>
  <c r="N49" i="3"/>
  <c r="L49" i="3"/>
  <c r="D67" i="5"/>
  <c r="D65" i="5" s="1"/>
  <c r="D16" i="6" s="1"/>
  <c r="D56" i="5"/>
  <c r="F55" i="5"/>
  <c r="G55" i="5" s="1"/>
  <c r="F56" i="5"/>
  <c r="F66" i="5"/>
  <c r="G66" i="5" s="1"/>
  <c r="I66" i="5" s="1"/>
  <c r="N50" i="3"/>
  <c r="K49" i="3"/>
  <c r="C28" i="3"/>
  <c r="C27" i="3" s="1"/>
  <c r="F13" i="3"/>
  <c r="F12" i="3" s="1"/>
  <c r="F24" i="3" s="1"/>
  <c r="F25" i="3" s="1"/>
  <c r="H13" i="3"/>
  <c r="H12" i="3" s="1"/>
  <c r="H24" i="3" s="1"/>
  <c r="H25" i="3" s="1"/>
  <c r="J13" i="3"/>
  <c r="J12" i="3" s="1"/>
  <c r="J24" i="3" s="1"/>
  <c r="J25" i="3" s="1"/>
  <c r="D13" i="3"/>
  <c r="D12" i="3" s="1"/>
  <c r="D24" i="3" s="1"/>
  <c r="D25" i="3" s="1"/>
  <c r="E28" i="3"/>
  <c r="E27" i="3" s="1"/>
  <c r="F28" i="3"/>
  <c r="G28" i="3"/>
  <c r="G27" i="3" s="1"/>
  <c r="H28" i="3"/>
  <c r="I28" i="3"/>
  <c r="I27" i="3" s="1"/>
  <c r="J28" i="3"/>
  <c r="D28" i="3"/>
  <c r="E63" i="5"/>
  <c r="E41" i="5" s="1"/>
  <c r="E61" i="5"/>
  <c r="E39" i="5" s="1"/>
  <c r="E60" i="5"/>
  <c r="E38" i="5" s="1"/>
  <c r="E59" i="5"/>
  <c r="E37" i="5" s="1"/>
  <c r="E58" i="5"/>
  <c r="E36" i="5" s="1"/>
  <c r="E57" i="5"/>
  <c r="E35" i="5" s="1"/>
  <c r="E32" i="5" s="1"/>
  <c r="E43" i="5"/>
  <c r="E14" i="6" s="1"/>
  <c r="E11" i="6"/>
  <c r="C63" i="4"/>
  <c r="C60" i="4"/>
  <c r="I77" i="5" l="1"/>
  <c r="P48" i="3"/>
  <c r="F78" i="5"/>
  <c r="G78" i="5" s="1"/>
  <c r="I78" i="5" s="1"/>
  <c r="P50" i="3"/>
  <c r="P51" i="3"/>
  <c r="H46" i="3"/>
  <c r="H47" i="3" s="1"/>
  <c r="H27" i="3"/>
  <c r="D46" i="3"/>
  <c r="D47" i="3" s="1"/>
  <c r="D27" i="3"/>
  <c r="J27" i="3"/>
  <c r="J46" i="3"/>
  <c r="J47" i="3" s="1"/>
  <c r="F27" i="3"/>
  <c r="F46" i="3"/>
  <c r="F47" i="3" s="1"/>
  <c r="N51" i="3"/>
  <c r="D44" i="5"/>
  <c r="D33" i="5" s="1"/>
  <c r="D11" i="5"/>
  <c r="D22" i="5"/>
  <c r="F67" i="5"/>
  <c r="G67" i="5" s="1"/>
  <c r="I67" i="5" s="1"/>
  <c r="N48" i="3"/>
  <c r="L48" i="3"/>
  <c r="L50" i="3"/>
  <c r="L51" i="3" s="1"/>
  <c r="F52" i="5"/>
  <c r="F41" i="5" s="1"/>
  <c r="G19" i="5"/>
  <c r="D54" i="5"/>
  <c r="D15" i="6" s="1"/>
  <c r="G56" i="5"/>
  <c r="I56" i="5" s="1"/>
  <c r="G63" i="5"/>
  <c r="G13" i="3"/>
  <c r="G12" i="3" s="1"/>
  <c r="G24" i="3" s="1"/>
  <c r="E13" i="3"/>
  <c r="E12" i="3" s="1"/>
  <c r="E24" i="3" s="1"/>
  <c r="I13" i="3"/>
  <c r="I12" i="3" s="1"/>
  <c r="I24" i="3" s="1"/>
  <c r="I55" i="5"/>
  <c r="F30" i="5"/>
  <c r="G52" i="5"/>
  <c r="E54" i="5"/>
  <c r="E15" i="6" s="1"/>
  <c r="C79" i="4"/>
  <c r="D32" i="5" l="1"/>
  <c r="F96" i="5"/>
  <c r="D88" i="5"/>
  <c r="E92" i="5"/>
  <c r="D49" i="3"/>
  <c r="C49" i="3"/>
  <c r="F44" i="5"/>
  <c r="F33" i="5" s="1"/>
  <c r="F45" i="5"/>
  <c r="F34" i="5" s="1"/>
  <c r="F22" i="5"/>
  <c r="G22" i="5" s="1"/>
  <c r="I22" i="5" s="1"/>
  <c r="F23" i="5"/>
  <c r="D48" i="3"/>
  <c r="F11" i="5"/>
  <c r="F88" i="5" s="1"/>
  <c r="F12" i="5"/>
  <c r="C15" i="6"/>
  <c r="D23" i="5"/>
  <c r="D12" i="5"/>
  <c r="D89" i="5" s="1"/>
  <c r="D45" i="5"/>
  <c r="D34" i="5" s="1"/>
  <c r="G30" i="5"/>
  <c r="G74" i="5"/>
  <c r="J49" i="3"/>
  <c r="H49" i="3"/>
  <c r="F49" i="3"/>
  <c r="I49" i="3"/>
  <c r="G49" i="3"/>
  <c r="E49" i="3"/>
  <c r="F89" i="5" l="1"/>
  <c r="D87" i="5"/>
  <c r="G44" i="5"/>
  <c r="G33" i="5" s="1"/>
  <c r="D26" i="3"/>
  <c r="D50" i="3"/>
  <c r="D51" i="3" s="1"/>
  <c r="J50" i="3"/>
  <c r="J51" i="3" s="1"/>
  <c r="H50" i="3"/>
  <c r="H51" i="3" s="1"/>
  <c r="F48" i="3"/>
  <c r="F50" i="3"/>
  <c r="F51" i="3" s="1"/>
  <c r="D43" i="5"/>
  <c r="D14" i="6" s="1"/>
  <c r="G45" i="5"/>
  <c r="G34" i="5" s="1"/>
  <c r="D10" i="5"/>
  <c r="G12" i="5"/>
  <c r="K15" i="6"/>
  <c r="D21" i="5"/>
  <c r="D12" i="6" s="1"/>
  <c r="G23" i="5"/>
  <c r="I23" i="5" s="1"/>
  <c r="G11" i="5"/>
  <c r="G88" i="5" s="1"/>
  <c r="H48" i="3"/>
  <c r="J48" i="3"/>
  <c r="F26" i="3"/>
  <c r="G89" i="5" l="1"/>
  <c r="D13" i="6"/>
  <c r="D11" i="6"/>
  <c r="C11" i="6" s="1"/>
  <c r="K11" i="6" s="1"/>
  <c r="I45" i="5"/>
  <c r="I34" i="5" s="1"/>
  <c r="I44" i="5"/>
  <c r="I33" i="5" s="1"/>
  <c r="I11" i="5"/>
  <c r="I12" i="5"/>
  <c r="C14" i="6"/>
  <c r="H26" i="3"/>
  <c r="J26" i="3"/>
  <c r="D18" i="6" l="1"/>
  <c r="I89" i="5"/>
  <c r="I88" i="5"/>
  <c r="K14" i="6"/>
  <c r="K7" i="1" l="1"/>
  <c r="K5" i="1"/>
  <c r="D29" i="2"/>
  <c r="D16" i="2"/>
  <c r="D7" i="2"/>
  <c r="C12" i="4" l="1"/>
  <c r="C13" i="4"/>
  <c r="D63" i="4" s="1"/>
  <c r="H21" i="2"/>
  <c r="D30" i="2"/>
  <c r="L7" i="1"/>
  <c r="C25" i="4" s="1"/>
  <c r="C55" i="4" s="1"/>
  <c r="L11" i="1"/>
  <c r="N11" i="1" l="1"/>
  <c r="D60" i="4"/>
  <c r="N7" i="1"/>
  <c r="C35" i="4"/>
  <c r="D55" i="4"/>
  <c r="C74" i="4"/>
  <c r="J13" i="1"/>
  <c r="J21" i="1"/>
  <c r="J9" i="1"/>
  <c r="L9" i="1" s="1"/>
  <c r="N9" i="1" l="1"/>
  <c r="F15" i="5"/>
  <c r="L13" i="1"/>
  <c r="C40" i="4"/>
  <c r="F40" i="4" s="1"/>
  <c r="C29" i="4"/>
  <c r="C58" i="4" s="1"/>
  <c r="J7" i="1"/>
  <c r="L5" i="1"/>
  <c r="N5" i="1" s="1"/>
  <c r="J17" i="1"/>
  <c r="L17" i="1" s="1"/>
  <c r="N17" i="1" s="1"/>
  <c r="N13" i="1" l="1"/>
  <c r="F48" i="5"/>
  <c r="G48" i="5" s="1"/>
  <c r="I48" i="5" s="1"/>
  <c r="F26" i="5"/>
  <c r="F81" i="5"/>
  <c r="C61" i="4"/>
  <c r="C24" i="4"/>
  <c r="C45" i="4"/>
  <c r="G15" i="5"/>
  <c r="C77" i="4"/>
  <c r="D58" i="4"/>
  <c r="J8" i="1"/>
  <c r="L8" i="1" s="1"/>
  <c r="J6" i="1"/>
  <c r="L6" i="1" s="1"/>
  <c r="J14" i="1"/>
  <c r="L14" i="1" s="1"/>
  <c r="F17" i="5" s="1"/>
  <c r="J16" i="1"/>
  <c r="L16" i="1" s="1"/>
  <c r="J18" i="1"/>
  <c r="L18" i="1" s="1"/>
  <c r="J20" i="1"/>
  <c r="J22" i="1"/>
  <c r="L22" i="1" s="1"/>
  <c r="F20" i="5" s="1"/>
  <c r="J12" i="1"/>
  <c r="L12" i="1" s="1"/>
  <c r="F16" i="5" s="1"/>
  <c r="J11" i="1"/>
  <c r="M11" i="1"/>
  <c r="C69" i="4" s="1"/>
  <c r="M10" i="1"/>
  <c r="M23" i="1"/>
  <c r="F83" i="5" l="1"/>
  <c r="H16" i="5"/>
  <c r="F86" i="5"/>
  <c r="F70" i="5"/>
  <c r="G70" i="5" s="1"/>
  <c r="I70" i="5" s="1"/>
  <c r="F59" i="5"/>
  <c r="G59" i="5" s="1"/>
  <c r="I59" i="5" s="1"/>
  <c r="G26" i="5"/>
  <c r="I26" i="5" s="1"/>
  <c r="N8" i="1"/>
  <c r="F14" i="5"/>
  <c r="N6" i="1"/>
  <c r="F13" i="5"/>
  <c r="C70" i="4"/>
  <c r="H19" i="5"/>
  <c r="F82" i="5"/>
  <c r="N16" i="1"/>
  <c r="F18" i="5"/>
  <c r="C50" i="4"/>
  <c r="C62" i="4" s="1"/>
  <c r="C81" i="4" s="1"/>
  <c r="N18" i="1"/>
  <c r="F32" i="4"/>
  <c r="N12" i="1"/>
  <c r="N22" i="1"/>
  <c r="C52" i="4"/>
  <c r="C64" i="4" s="1"/>
  <c r="C54" i="4"/>
  <c r="F50" i="5"/>
  <c r="N14" i="1"/>
  <c r="C73" i="4"/>
  <c r="C80" i="4"/>
  <c r="D61" i="4"/>
  <c r="C82" i="4"/>
  <c r="F72" i="5"/>
  <c r="G72" i="5" s="1"/>
  <c r="I72" i="5" s="1"/>
  <c r="C27" i="4"/>
  <c r="C57" i="4" s="1"/>
  <c r="I15" i="5"/>
  <c r="K20" i="1"/>
  <c r="N20" i="1" s="1"/>
  <c r="C68" i="4"/>
  <c r="C71" i="4" s="1"/>
  <c r="C48" i="4"/>
  <c r="C56" i="4" s="1"/>
  <c r="L24" i="1"/>
  <c r="J24" i="1"/>
  <c r="M24" i="1"/>
  <c r="F92" i="5" l="1"/>
  <c r="F51" i="5"/>
  <c r="F84" i="5"/>
  <c r="G84" i="5" s="1"/>
  <c r="I84" i="5" s="1"/>
  <c r="F62" i="5"/>
  <c r="G62" i="5" s="1"/>
  <c r="I62" i="5" s="1"/>
  <c r="F73" i="5"/>
  <c r="G73" i="5" s="1"/>
  <c r="F29" i="5"/>
  <c r="G29" i="5" s="1"/>
  <c r="I29" i="5" s="1"/>
  <c r="F80" i="5"/>
  <c r="F79" i="5"/>
  <c r="F61" i="5"/>
  <c r="G61" i="5" s="1"/>
  <c r="I61" i="5" s="1"/>
  <c r="I73" i="5"/>
  <c r="G50" i="5"/>
  <c r="F28" i="5"/>
  <c r="G17" i="5"/>
  <c r="D54" i="4"/>
  <c r="C75" i="4"/>
  <c r="D56" i="4"/>
  <c r="G18" i="5"/>
  <c r="D64" i="4"/>
  <c r="H71" i="5"/>
  <c r="H60" i="5"/>
  <c r="H27" i="5"/>
  <c r="H10" i="5"/>
  <c r="I11" i="6" s="1"/>
  <c r="C15" i="4"/>
  <c r="F16" i="4" s="1"/>
  <c r="K24" i="1"/>
  <c r="N24" i="1" s="1"/>
  <c r="C76" i="4"/>
  <c r="D57" i="4"/>
  <c r="C34" i="4"/>
  <c r="F10" i="5"/>
  <c r="F11" i="6" s="1"/>
  <c r="L11" i="6" s="1"/>
  <c r="M11" i="6" s="1"/>
  <c r="D62" i="4"/>
  <c r="F57" i="5"/>
  <c r="G13" i="5"/>
  <c r="F24" i="5"/>
  <c r="F90" i="5" s="1"/>
  <c r="F68" i="5"/>
  <c r="F46" i="5"/>
  <c r="F75" i="5"/>
  <c r="F64" i="5"/>
  <c r="G64" i="5" s="1"/>
  <c r="F31" i="5"/>
  <c r="G20" i="5"/>
  <c r="F53" i="5"/>
  <c r="E21" i="5"/>
  <c r="E12" i="6" s="1"/>
  <c r="F58" i="5"/>
  <c r="G58" i="5" s="1"/>
  <c r="I58" i="5" s="1"/>
  <c r="F69" i="5"/>
  <c r="G69" i="5" s="1"/>
  <c r="I69" i="5" s="1"/>
  <c r="G14" i="5"/>
  <c r="F47" i="5"/>
  <c r="F36" i="5" s="1"/>
  <c r="F25" i="5"/>
  <c r="F91" i="5" s="1"/>
  <c r="H74" i="5"/>
  <c r="I74" i="5" s="1"/>
  <c r="H63" i="5"/>
  <c r="I63" i="5" s="1"/>
  <c r="H30" i="5"/>
  <c r="I19" i="5"/>
  <c r="C12" i="6" l="1"/>
  <c r="F35" i="5"/>
  <c r="F95" i="5"/>
  <c r="I17" i="5"/>
  <c r="F94" i="5"/>
  <c r="F87" i="5" s="1"/>
  <c r="G86" i="5"/>
  <c r="I86" i="5" s="1"/>
  <c r="F97" i="5"/>
  <c r="F40" i="5"/>
  <c r="G51" i="5"/>
  <c r="G31" i="5"/>
  <c r="I31" i="5" s="1"/>
  <c r="F42" i="5"/>
  <c r="H85" i="5"/>
  <c r="H76" i="5" s="1"/>
  <c r="I17" i="6" s="1"/>
  <c r="H82" i="5"/>
  <c r="F39" i="5"/>
  <c r="G25" i="5"/>
  <c r="I25" i="5" s="1"/>
  <c r="G28" i="5"/>
  <c r="I28" i="5" s="1"/>
  <c r="G47" i="5"/>
  <c r="I50" i="5"/>
  <c r="I64" i="5"/>
  <c r="C59" i="4"/>
  <c r="C78" i="4" s="1"/>
  <c r="H52" i="5"/>
  <c r="I30" i="5"/>
  <c r="I14" i="5"/>
  <c r="G75" i="5"/>
  <c r="I75" i="5" s="1"/>
  <c r="E65" i="5"/>
  <c r="E16" i="6" s="1"/>
  <c r="I20" i="5"/>
  <c r="G11" i="6"/>
  <c r="J11" i="6" s="1"/>
  <c r="G46" i="5"/>
  <c r="G24" i="5"/>
  <c r="G57" i="5"/>
  <c r="H49" i="5"/>
  <c r="H38" i="5" s="1"/>
  <c r="H21" i="5"/>
  <c r="I12" i="6" s="1"/>
  <c r="H65" i="5"/>
  <c r="I16" i="6" s="1"/>
  <c r="C83" i="4"/>
  <c r="G53" i="5"/>
  <c r="I53" i="5" s="1"/>
  <c r="G68" i="5"/>
  <c r="I13" i="5"/>
  <c r="F71" i="5"/>
  <c r="G71" i="5" s="1"/>
  <c r="I71" i="5" s="1"/>
  <c r="F60" i="5"/>
  <c r="G60" i="5" s="1"/>
  <c r="I60" i="5" s="1"/>
  <c r="G16" i="5"/>
  <c r="F49" i="5"/>
  <c r="F27" i="5"/>
  <c r="F93" i="5" s="1"/>
  <c r="H54" i="5"/>
  <c r="I15" i="6" s="1"/>
  <c r="I18" i="5"/>
  <c r="I97" i="5" l="1"/>
  <c r="G97" i="5"/>
  <c r="H41" i="5"/>
  <c r="H32" i="5" s="1"/>
  <c r="G95" i="5"/>
  <c r="I51" i="5"/>
  <c r="G40" i="5"/>
  <c r="H93" i="5"/>
  <c r="G10" i="5"/>
  <c r="I10" i="5" s="1"/>
  <c r="H96" i="5"/>
  <c r="H87" i="5"/>
  <c r="I42" i="5"/>
  <c r="G42" i="5"/>
  <c r="F38" i="5"/>
  <c r="G27" i="5"/>
  <c r="I27" i="5" s="1"/>
  <c r="C16" i="6"/>
  <c r="K16" i="6" s="1"/>
  <c r="C84" i="4"/>
  <c r="G85" i="4" s="1"/>
  <c r="F41" i="4" s="1"/>
  <c r="C66" i="4"/>
  <c r="C65" i="4"/>
  <c r="D65" i="4" s="1"/>
  <c r="I47" i="5"/>
  <c r="G49" i="5"/>
  <c r="D59" i="4"/>
  <c r="I52" i="5"/>
  <c r="N11" i="6"/>
  <c r="I68" i="5"/>
  <c r="I65" i="5" s="1"/>
  <c r="G65" i="5"/>
  <c r="F54" i="5"/>
  <c r="F15" i="6" s="1"/>
  <c r="G15" i="6" s="1"/>
  <c r="I24" i="5"/>
  <c r="I46" i="5"/>
  <c r="I16" i="5"/>
  <c r="F65" i="5"/>
  <c r="F16" i="6" s="1"/>
  <c r="L16" i="6" s="1"/>
  <c r="K12" i="6"/>
  <c r="H43" i="5"/>
  <c r="I14" i="6" s="1"/>
  <c r="I57" i="5"/>
  <c r="I54" i="5" s="1"/>
  <c r="G54" i="5"/>
  <c r="F21" i="5"/>
  <c r="F12" i="6" s="1"/>
  <c r="L12" i="6" s="1"/>
  <c r="F43" i="5"/>
  <c r="F14" i="6" s="1"/>
  <c r="I18" i="6" l="1"/>
  <c r="I13" i="6"/>
  <c r="G21" i="5"/>
  <c r="I21" i="5" s="1"/>
  <c r="I95" i="5"/>
  <c r="I40" i="5"/>
  <c r="C13" i="6"/>
  <c r="D66" i="4"/>
  <c r="G43" i="5"/>
  <c r="I49" i="5"/>
  <c r="G12" i="6"/>
  <c r="G16" i="6"/>
  <c r="J16" i="6" s="1"/>
  <c r="N16" i="6" s="1"/>
  <c r="L14" i="6"/>
  <c r="G14" i="6"/>
  <c r="M12" i="6"/>
  <c r="M16" i="6"/>
  <c r="L15" i="6"/>
  <c r="M15" i="6" s="1"/>
  <c r="J15" i="6"/>
  <c r="N15" i="6" s="1"/>
  <c r="I43" i="5" l="1"/>
  <c r="M14" i="6"/>
  <c r="J14" i="6"/>
  <c r="J12" i="6"/>
  <c r="N12" i="6" s="1"/>
  <c r="N14" i="6" l="1"/>
  <c r="E94" i="5"/>
  <c r="G83" i="5"/>
  <c r="I83" i="5" s="1"/>
  <c r="E96" i="5"/>
  <c r="G85" i="5"/>
  <c r="G79" i="5"/>
  <c r="G90" i="5" s="1"/>
  <c r="E90" i="5"/>
  <c r="E87" i="5" s="1"/>
  <c r="E91" i="5"/>
  <c r="G80" i="5"/>
  <c r="G91" i="5" s="1"/>
  <c r="E76" i="5"/>
  <c r="E17" i="6" s="1"/>
  <c r="G82" i="5"/>
  <c r="E93" i="5"/>
  <c r="F76" i="5"/>
  <c r="F17" i="6" s="1"/>
  <c r="F37" i="5"/>
  <c r="F32" i="5" s="1"/>
  <c r="G81" i="5"/>
  <c r="G37" i="5"/>
  <c r="I39" i="5" l="1"/>
  <c r="I94" i="5"/>
  <c r="G38" i="5"/>
  <c r="G93" i="5"/>
  <c r="L17" i="6"/>
  <c r="F13" i="6"/>
  <c r="F18" i="6"/>
  <c r="G39" i="5"/>
  <c r="G94" i="5"/>
  <c r="C17" i="6"/>
  <c r="E13" i="6"/>
  <c r="E18" i="6"/>
  <c r="C18" i="6" s="1"/>
  <c r="G41" i="5"/>
  <c r="G96" i="5"/>
  <c r="G87" i="5"/>
  <c r="I81" i="5"/>
  <c r="G92" i="5"/>
  <c r="I82" i="5"/>
  <c r="G76" i="5"/>
  <c r="I79" i="5"/>
  <c r="G35" i="5"/>
  <c r="I80" i="5"/>
  <c r="G36" i="5"/>
  <c r="I85" i="5"/>
  <c r="I35" i="5" l="1"/>
  <c r="I90" i="5"/>
  <c r="I36" i="5"/>
  <c r="I91" i="5"/>
  <c r="K17" i="6"/>
  <c r="G17" i="6"/>
  <c r="I37" i="5"/>
  <c r="I92" i="5"/>
  <c r="L13" i="6"/>
  <c r="L18" i="6"/>
  <c r="I41" i="5"/>
  <c r="I96" i="5"/>
  <c r="I38" i="5"/>
  <c r="I93" i="5"/>
  <c r="I76" i="5"/>
  <c r="G32" i="5"/>
  <c r="I87" i="5" l="1"/>
  <c r="G13" i="6"/>
  <c r="J17" i="6"/>
  <c r="G18" i="6"/>
  <c r="I32" i="5"/>
  <c r="M17" i="6"/>
  <c r="K13" i="6"/>
  <c r="K18" i="6"/>
  <c r="J13" i="6" l="1"/>
  <c r="J18" i="6"/>
  <c r="M13" i="6"/>
  <c r="M18" i="6"/>
  <c r="N17" i="6"/>
  <c r="N13" i="6"/>
  <c r="N18" i="6"/>
</calcChain>
</file>

<file path=xl/sharedStrings.xml><?xml version="1.0" encoding="utf-8"?>
<sst xmlns="http://schemas.openxmlformats.org/spreadsheetml/2006/main" count="476" uniqueCount="199">
  <si>
    <t>Код 
муниципальной 
услуги</t>
  </si>
  <si>
    <t>Рз/Пр</t>
  </si>
  <si>
    <t>ЦСР</t>
  </si>
  <si>
    <t>ВР</t>
  </si>
  <si>
    <t>КОСГУ</t>
  </si>
  <si>
    <t>Суб
КОСГУ</t>
  </si>
  <si>
    <t>Тип
средств</t>
  </si>
  <si>
    <t>в том числе</t>
  </si>
  <si>
    <t>Затраты на содержание имущества</t>
  </si>
  <si>
    <t>Затраты на 
услуги (работы)</t>
  </si>
  <si>
    <t>Прямые</t>
  </si>
  <si>
    <t>Общехозяйственные</t>
  </si>
  <si>
    <t>001</t>
  </si>
  <si>
    <t>08.01</t>
  </si>
  <si>
    <t>01.00.00</t>
  </si>
  <si>
    <t>№ п/п</t>
  </si>
  <si>
    <t xml:space="preserve">Наименование должности/ 
категории
</t>
  </si>
  <si>
    <t>Всего годовой ФОТ</t>
  </si>
  <si>
    <t>Директор</t>
  </si>
  <si>
    <t>Заместитель директора по финансово-экономическим вопросам</t>
  </si>
  <si>
    <t>Заместитель директора</t>
  </si>
  <si>
    <t>Начальник хозяйственного отдела</t>
  </si>
  <si>
    <t>Итого АУП</t>
  </si>
  <si>
    <t>Инженер</t>
  </si>
  <si>
    <t>Специалист по охране труда</t>
  </si>
  <si>
    <t>Инженер-механик</t>
  </si>
  <si>
    <t>Специалист по кадрам</t>
  </si>
  <si>
    <t>Мастер леса</t>
  </si>
  <si>
    <t>Лесник</t>
  </si>
  <si>
    <t>Итого специалистов</t>
  </si>
  <si>
    <t>Рабочий зеленого хозяйства</t>
  </si>
  <si>
    <t>Рабочий по комплексному обслуживанию здания</t>
  </si>
  <si>
    <t>Водитель автомобиля</t>
  </si>
  <si>
    <t>Водитель погрузчика</t>
  </si>
  <si>
    <t>Уборщик служебных помещений</t>
  </si>
  <si>
    <t>Слесарь-ремонтник</t>
  </si>
  <si>
    <t>Слесарь-электрик по ремонту электрооборудования</t>
  </si>
  <si>
    <t>Техник</t>
  </si>
  <si>
    <t>Сторож</t>
  </si>
  <si>
    <t>Вахтер</t>
  </si>
  <si>
    <t>Плотник</t>
  </si>
  <si>
    <t>Дворник</t>
  </si>
  <si>
    <t>Итого МОП</t>
  </si>
  <si>
    <t>Всего</t>
  </si>
  <si>
    <t>прямые затраты</t>
  </si>
  <si>
    <t>НЕТ</t>
  </si>
  <si>
    <t>нет</t>
  </si>
  <si>
    <t>да</t>
  </si>
  <si>
    <t>инженер</t>
  </si>
  <si>
    <t>ДА</t>
  </si>
  <si>
    <t>зп</t>
  </si>
  <si>
    <t>начис</t>
  </si>
  <si>
    <t>15.0.02.00590</t>
  </si>
  <si>
    <t>Субсидия на выполнение муниципального задания по оказанию муниципальной услуги 
"ГОРЛЕС"</t>
  </si>
  <si>
    <t>Приложение 1</t>
  </si>
  <si>
    <t>к Порядку определения нормативных затрат</t>
  </si>
  <si>
    <t>на оказание муниципальной услуги и нормативных затрат</t>
  </si>
  <si>
    <t>на содержание имущества муниципальных учреждений</t>
  </si>
  <si>
    <t>РАСЧЕТ 
нормативных затрат на оплату труда и начисления на оплату труда персонала, 
принимающего непосредственное участие в оказании муниципальной услуги</t>
  </si>
  <si>
    <t>Наименование должности</t>
  </si>
  <si>
    <t>Штатная численность (ед.)</t>
  </si>
  <si>
    <t>Годовой фонд оплаты труда за счет средств бюджета (тыс. руб.)</t>
  </si>
  <si>
    <t>В том числе по муниципальным услугам</t>
  </si>
  <si>
    <t>Затраты на оплату труда (тыс. руб.)</t>
  </si>
  <si>
    <t>Основной персонал (категория персонала, должность), в том числе:</t>
  </si>
  <si>
    <t>1.1.</t>
  </si>
  <si>
    <t>Специалисты</t>
  </si>
  <si>
    <t>Итого оплата труда основного персонала:</t>
  </si>
  <si>
    <t>Начисления на выплаты по оплате труда основного персонала</t>
  </si>
  <si>
    <t>х</t>
  </si>
  <si>
    <t>Итого оплата труда с начислениями</t>
  </si>
  <si>
    <t>Вспомогательный персонал (категория персонала, должность) в том числе:</t>
  </si>
  <si>
    <t>2.1.</t>
  </si>
  <si>
    <t>АУП</t>
  </si>
  <si>
    <t>2.2.</t>
  </si>
  <si>
    <t>Итого оплата труда вспомогательного персонала:</t>
  </si>
  <si>
    <t>Начисления на выплаты по оплате труда вспомогательного персонала</t>
  </si>
  <si>
    <t>Приложение 2</t>
  </si>
  <si>
    <t>Распределение нормативных затрат в соответствии с КОСГУ, исчисленных нормативным и структурным методами в пределах лимитов бюджетных 
ассигнований на планируемый период</t>
  </si>
  <si>
    <t>Наименование статей расходов</t>
  </si>
  <si>
    <t>Лимиты бюджетных ассигнований, тыс. руб.</t>
  </si>
  <si>
    <t>Доля затрат, пропорционально относимых к оплате труда и начислениям основного персонала, %</t>
  </si>
  <si>
    <t>1. Нормативные затраты на оказание муниципальной услуги</t>
  </si>
  <si>
    <t>1.1.Нормативные затраты непосредственно связанные с оказанием муниципальной услуги</t>
  </si>
  <si>
    <t>1.1.1. Нормативные затраты на оплату труда и начисления на выплаты по оплате труда основного персонала</t>
  </si>
  <si>
    <t>Оплата труда</t>
  </si>
  <si>
    <t>Начисления на оплату труда</t>
  </si>
  <si>
    <t>1.1.2.      Нормативные затраты на приобретение материальных запасов</t>
  </si>
  <si>
    <t>Приобретение расходных материалов</t>
  </si>
  <si>
    <t xml:space="preserve">1.1.3.Иные нормативные затраты </t>
  </si>
  <si>
    <t>Прочие выплаты</t>
  </si>
  <si>
    <t>Транспортные услуги</t>
  </si>
  <si>
    <t>Прочие работы, услуги</t>
  </si>
  <si>
    <t>Прочие расходы</t>
  </si>
  <si>
    <t>1.2.Нормативные затраты на общехозяйственные нужды</t>
  </si>
  <si>
    <t>1.2.1. Нормативные затраты на оплату труда и начисления на выплаты по оплате труда работников, которые не принимают непосредственного участия в оказании муниципальной услуги</t>
  </si>
  <si>
    <t>1.2.2.Нормативные затраты на оказание услуг связи</t>
  </si>
  <si>
    <t>Услуги связи</t>
  </si>
  <si>
    <t>1.2.3.Нормативные затраты на приобретение транспортных услуг</t>
  </si>
  <si>
    <t>1.2.4.Нормативные затраты на коммунальные услуги</t>
  </si>
  <si>
    <t>Холодное водоснабжение</t>
  </si>
  <si>
    <t>Горячее водоснабжение</t>
  </si>
  <si>
    <t>Водоотведение</t>
  </si>
  <si>
    <t>Потребление тепловой энергии (50% от общих затрат)</t>
  </si>
  <si>
    <t>Потребление электрической энергии (90% от общих затрат)</t>
  </si>
  <si>
    <t>1.2.5.Нормативные затраты на содержание недвижимого имущества</t>
  </si>
  <si>
    <t>Эксплуатация системы охранной сигнализации и противопожарной безопасности</t>
  </si>
  <si>
    <t>Проведение текущего ремонта объектов недвижимости</t>
  </si>
  <si>
    <t>Аренда недвижимого имущества</t>
  </si>
  <si>
    <t>Содержание прилегающей территории, в соответствии с утвержденными санитарными правилами и нормами</t>
  </si>
  <si>
    <t>Прочие нормативные затраты на содержание недвижимого имущества (расшифровать)</t>
  </si>
  <si>
    <t>1.2.6.Нормативные затраты на содержание особо ценного движимого имущества</t>
  </si>
  <si>
    <t>Техническое обслуживание и текущий ремонт</t>
  </si>
  <si>
    <t>Материальные запасы не связанные с оказанием муниципальной услуги</t>
  </si>
  <si>
    <t>Страхование ОСАГО</t>
  </si>
  <si>
    <t>Прочие затраты (расшифровать)</t>
  </si>
  <si>
    <t>1.2.7.Прочие нормативные затраты на общехозяйственные нужды</t>
  </si>
  <si>
    <t>Аренда имущества</t>
  </si>
  <si>
    <t>Итого затраты на общехозяйственные нужды, в т.ч.</t>
  </si>
  <si>
    <t>Начисления на выплаты по оплате труда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</si>
  <si>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</si>
  <si>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</si>
  <si>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</si>
  <si>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материальных запасов</t>
  </si>
  <si>
    <t>Итого</t>
  </si>
  <si>
    <t>Всего по разделу 1</t>
  </si>
  <si>
    <t>2.Определение нормативных затрат на содержание имущества муниципального учреждения</t>
  </si>
  <si>
    <t>Потребление электрической энергии (10% от общих затрат)</t>
  </si>
  <si>
    <t>Налог на имущество, земельный налог</t>
  </si>
  <si>
    <t>Всего по разделу 2</t>
  </si>
  <si>
    <t>ИТОГО утвержденные лимиты бюджетных ассигнований в разрезе КОСГУ</t>
  </si>
  <si>
    <t>Итого расходов по 1 и 2 разделам</t>
  </si>
  <si>
    <t>Приложение 3</t>
  </si>
  <si>
    <t>Исходные данные и результаты расчетов объемов нормативных затрат  на оказание муниципальных услуг в разрезе КОСГУ</t>
  </si>
  <si>
    <t>№</t>
  </si>
  <si>
    <t>Наименование муниципальной услуги</t>
  </si>
  <si>
    <t>Нормативные затраты на оплату труда и начисления на выплату по оплате труда</t>
  </si>
  <si>
    <t>Нормативные затраты на материальные запасы и иные</t>
  </si>
  <si>
    <t>Затраты на общехозяйственные нужды</t>
  </si>
  <si>
    <t>Итого нормативные затраты на оказание муниципальной услуги</t>
  </si>
  <si>
    <t>Сумма финансового обеспечения выполнения муниципального задания</t>
  </si>
  <si>
    <t>7 = сумма граф 4,5,6</t>
  </si>
  <si>
    <t>9 = сумма граф 7,8</t>
  </si>
  <si>
    <t>Итого:</t>
  </si>
  <si>
    <r>
      <t xml:space="preserve">Исходные данные и результаты расчетов объема нормативных затрат на единицу оказания муниципальной услуги и нормативных затрат на содержание имущества 
</t>
    </r>
    <r>
      <rPr>
        <b/>
        <u/>
        <sz val="10"/>
        <color indexed="8"/>
        <rFont val="Times New Roman"/>
        <family val="1"/>
        <charset val="204"/>
      </rPr>
      <t>МБУ "ФСК "Юность"</t>
    </r>
    <r>
      <rPr>
        <b/>
        <sz val="10"/>
        <color indexed="8"/>
        <rFont val="Times New Roman"/>
        <family val="1"/>
        <charset val="204"/>
      </rPr>
      <t xml:space="preserve">  
на 2015 год и плановый период 2016 и 2017 годов</t>
    </r>
  </si>
  <si>
    <t>Единица измерения показателя объема</t>
  </si>
  <si>
    <t>Нормативные затраты, непосредственно связанные с оказанием муниципальной услуги</t>
  </si>
  <si>
    <t>В том числе</t>
  </si>
  <si>
    <t>Объем муниципальной услуги</t>
  </si>
  <si>
    <t>Нормативные затраты на единицу услуги</t>
  </si>
  <si>
    <t>Нормативные затраты на оплату труда и начисления на выплаты по оплате труда</t>
  </si>
  <si>
    <t>Нормативные затраты непосредственно связанные с оказанием муниципальной услуги</t>
  </si>
  <si>
    <t>Итого нормативные затраты на выполнение муниципальной услуги</t>
  </si>
  <si>
    <t>Тыс. руб.</t>
  </si>
  <si>
    <t>Ед.</t>
  </si>
  <si>
    <t>руб.</t>
  </si>
  <si>
    <t xml:space="preserve"> руб.</t>
  </si>
  <si>
    <t>1а</t>
  </si>
  <si>
    <t>2а</t>
  </si>
  <si>
    <t>2б</t>
  </si>
  <si>
    <t>8=гр.2/гр.5</t>
  </si>
  <si>
    <t>9=гр.3/гр.5</t>
  </si>
  <si>
    <t>10=гр.8+гр.9</t>
  </si>
  <si>
    <t>Итого отчетный финансовый год</t>
  </si>
  <si>
    <t>Услуга №1</t>
  </si>
  <si>
    <t>Услуга №2</t>
  </si>
  <si>
    <t>Итого текущий финансовый год</t>
  </si>
  <si>
    <t>Итого очередной финансовый год</t>
  </si>
  <si>
    <t>Итого первый год планового периода</t>
  </si>
  <si>
    <t>Итого второй год планового периода</t>
  </si>
  <si>
    <t>Рабочие</t>
  </si>
  <si>
    <t>Итого по организации</t>
  </si>
  <si>
    <t>Муниципальная работа 
"Тушение лесных пожаров"</t>
  </si>
  <si>
    <t>Муниципальная работа 
"Обеспечение соблюдения лесного законодательства, выявление нарушений и принятие мер в соответствии с законодательством"</t>
  </si>
  <si>
    <t>по МАУ "Городское лесничество"</t>
  </si>
  <si>
    <t>Расходы на содержание имущества</t>
  </si>
  <si>
    <t>единица</t>
  </si>
  <si>
    <t>гектар</t>
  </si>
  <si>
    <t>километров</t>
  </si>
  <si>
    <t>Итого базовые нормативные затраты на оказание муниципальной услуги</t>
  </si>
  <si>
    <t>Значение отраслевого коэффициента</t>
  </si>
  <si>
    <t>11=гр.4/гр.7</t>
  </si>
  <si>
    <t>инженер паркового хозяйства</t>
  </si>
  <si>
    <t>инженер паркового хоз-ва</t>
  </si>
  <si>
    <t>1.2.</t>
  </si>
  <si>
    <t>по МАУ "Городское лесничество" на 2017 год</t>
  </si>
  <si>
    <t>Снижение природной пожарной опасности лесов путем регулирования породного состава лесных насаждений и проведения санитарно-оздоровительных мероприятий</t>
  </si>
  <si>
    <t>Предупреждение возникновения и распространения лесных пожаров, включая территорию ООПТ</t>
  </si>
  <si>
    <t>2.3.</t>
  </si>
  <si>
    <t>Установка и размещение стендов и других знаков и указателей, содержащих информацию о мерах пожарной безопасности в лесах</t>
  </si>
  <si>
    <t xml:space="preserve">
3</t>
  </si>
  <si>
    <t>7=4+6</t>
  </si>
  <si>
    <t>Муниципальная работа "Предупреждение возникновения и распространения лесных пожаров, включая территорию ООПТ", в том числе</t>
  </si>
  <si>
    <t>Устройство противопожарных минерализованных полос</t>
  </si>
  <si>
    <t>Прочистка и обновление противопожарных минерализованных полос</t>
  </si>
  <si>
    <t xml:space="preserve">  Устройство противопожарных минерализованных полос</t>
  </si>
  <si>
    <t xml:space="preserve">Приложение </t>
  </si>
  <si>
    <t>к Приказу ДМСиГ</t>
  </si>
  <si>
    <r>
      <t xml:space="preserve">№ </t>
    </r>
    <r>
      <rPr>
        <u/>
        <sz val="12"/>
        <color theme="1"/>
        <rFont val="Times New Roman"/>
        <family val="1"/>
        <charset val="204"/>
      </rPr>
      <t>181/1</t>
    </r>
    <r>
      <rPr>
        <sz val="12"/>
        <color theme="1"/>
        <rFont val="Times New Roman"/>
        <family val="1"/>
        <charset val="204"/>
      </rPr>
      <t xml:space="preserve"> от</t>
    </r>
    <r>
      <rPr>
        <u/>
        <sz val="12"/>
        <color theme="1"/>
        <rFont val="Times New Roman"/>
        <family val="1"/>
        <charset val="204"/>
      </rPr>
      <t xml:space="preserve"> 01.11.2016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</si>
</sst>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2">
    <xf numFmtId="0" fontId="0" fillId="0" borderId="0" xfId="0"/>
    <xf numFmtId="0" fontId="1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2" borderId="0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/>
    <xf numFmtId="4" fontId="1" fillId="0" borderId="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/>
    <xf numFmtId="0" fontId="4" fillId="0" borderId="0" xfId="0" applyFont="1" applyBorder="1" applyAlignment="1">
      <alignment horizontal="center" vertical="center"/>
    </xf>
    <xf numFmtId="22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4" fontId="4" fillId="2" borderId="2" xfId="0" applyNumberFormat="1" applyFont="1" applyFill="1" applyBorder="1" applyAlignment="1"/>
    <xf numFmtId="4" fontId="0" fillId="0" borderId="0" xfId="0" applyNumberFormat="1"/>
    <xf numFmtId="0" fontId="0" fillId="0" borderId="2" xfId="0" applyBorder="1"/>
    <xf numFmtId="4" fontId="0" fillId="0" borderId="2" xfId="0" applyNumberFormat="1" applyBorder="1"/>
    <xf numFmtId="0" fontId="0" fillId="3" borderId="2" xfId="0" applyFill="1" applyBorder="1"/>
    <xf numFmtId="4" fontId="0" fillId="3" borderId="2" xfId="0" applyNumberFormat="1" applyFill="1" applyBorder="1"/>
    <xf numFmtId="0" fontId="6" fillId="0" borderId="2" xfId="0" applyFont="1" applyBorder="1"/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4" fontId="0" fillId="4" borderId="2" xfId="0" applyNumberFormat="1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4" fontId="0" fillId="2" borderId="2" xfId="0" applyNumberFormat="1" applyFill="1" applyBorder="1"/>
    <xf numFmtId="0" fontId="0" fillId="2" borderId="0" xfId="0" applyFill="1"/>
    <xf numFmtId="4" fontId="0" fillId="2" borderId="0" xfId="0" applyNumberFormat="1" applyFill="1"/>
    <xf numFmtId="0" fontId="6" fillId="4" borderId="2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4" fillId="2" borderId="0" xfId="0" applyNumberFormat="1" applyFont="1" applyFill="1" applyBorder="1" applyAlignment="1"/>
    <xf numFmtId="4" fontId="4" fillId="2" borderId="3" xfId="0" applyNumberFormat="1" applyFont="1" applyFill="1" applyBorder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7" xfId="0" applyFont="1" applyBorder="1"/>
    <xf numFmtId="164" fontId="14" fillId="0" borderId="2" xfId="0" applyNumberFormat="1" applyFont="1" applyFill="1" applyBorder="1" applyAlignment="1">
      <alignment horizontal="center" vertical="center" shrinkToFit="1"/>
    </xf>
    <xf numFmtId="164" fontId="16" fillId="2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4" fontId="16" fillId="2" borderId="2" xfId="0" applyNumberFormat="1" applyFont="1" applyFill="1" applyBorder="1" applyAlignment="1">
      <alignment horizontal="center" vertical="center"/>
    </xf>
    <xf numFmtId="0" fontId="16" fillId="0" borderId="7" xfId="0" applyFont="1" applyBorder="1"/>
    <xf numFmtId="164" fontId="16" fillId="0" borderId="2" xfId="0" applyNumberFormat="1" applyFont="1" applyBorder="1" applyAlignment="1">
      <alignment horizontal="center" vertical="center"/>
    </xf>
    <xf numFmtId="165" fontId="16" fillId="2" borderId="2" xfId="0" applyNumberFormat="1" applyFont="1" applyFill="1" applyBorder="1" applyAlignment="1">
      <alignment horizontal="center" vertical="center"/>
    </xf>
    <xf numFmtId="0" fontId="16" fillId="0" borderId="9" xfId="0" applyFont="1" applyBorder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1" fillId="0" borderId="2" xfId="0" applyFont="1" applyBorder="1" applyAlignment="1">
      <alignment horizontal="center" vertical="center" wrapText="1"/>
    </xf>
    <xf numFmtId="0" fontId="2" fillId="2" borderId="0" xfId="0" applyFont="1" applyFill="1"/>
    <xf numFmtId="0" fontId="19" fillId="0" borderId="0" xfId="0" applyFont="1"/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0" fillId="0" borderId="0" xfId="0" applyFont="1"/>
    <xf numFmtId="0" fontId="10" fillId="0" borderId="15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/>
    <xf numFmtId="165" fontId="21" fillId="2" borderId="2" xfId="0" applyNumberFormat="1" applyFont="1" applyFill="1" applyBorder="1" applyAlignment="1">
      <alignment horizontal="center" vertical="center" wrapText="1"/>
    </xf>
    <xf numFmtId="4" fontId="19" fillId="0" borderId="0" xfId="0" applyNumberFormat="1" applyFont="1"/>
    <xf numFmtId="0" fontId="16" fillId="0" borderId="0" xfId="0" applyFont="1" applyAlignment="1">
      <alignment horizontal="right" vertical="center" indent="5"/>
    </xf>
    <xf numFmtId="0" fontId="2" fillId="2" borderId="0" xfId="0" applyFont="1" applyFill="1" applyAlignment="1">
      <alignment horizontal="right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21" fillId="2" borderId="8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indent="5"/>
    </xf>
    <xf numFmtId="0" fontId="16" fillId="0" borderId="20" xfId="0" applyFont="1" applyBorder="1"/>
    <xf numFmtId="0" fontId="2" fillId="0" borderId="8" xfId="0" applyFont="1" applyBorder="1" applyAlignment="1">
      <alignment horizontal="center"/>
    </xf>
    <xf numFmtId="165" fontId="0" fillId="0" borderId="0" xfId="0" applyNumberFormat="1"/>
    <xf numFmtId="2" fontId="0" fillId="0" borderId="0" xfId="0" applyNumberFormat="1"/>
    <xf numFmtId="0" fontId="10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 wrapText="1"/>
    </xf>
    <xf numFmtId="164" fontId="8" fillId="6" borderId="2" xfId="0" applyNumberFormat="1" applyFont="1" applyFill="1" applyBorder="1" applyAlignment="1">
      <alignment horizontal="center" vertical="center"/>
    </xf>
    <xf numFmtId="164" fontId="8" fillId="6" borderId="8" xfId="0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vertical="center" wrapText="1"/>
    </xf>
    <xf numFmtId="0" fontId="7" fillId="5" borderId="2" xfId="0" applyFont="1" applyFill="1" applyBorder="1"/>
    <xf numFmtId="0" fontId="0" fillId="5" borderId="2" xfId="0" applyFill="1" applyBorder="1"/>
    <xf numFmtId="164" fontId="15" fillId="5" borderId="2" xfId="0" applyNumberFormat="1" applyFont="1" applyFill="1" applyBorder="1" applyAlignment="1">
      <alignment horizontal="center" vertical="center"/>
    </xf>
    <xf numFmtId="0" fontId="16" fillId="6" borderId="7" xfId="0" applyFont="1" applyFill="1" applyBorder="1"/>
    <xf numFmtId="0" fontId="16" fillId="6" borderId="2" xfId="0" applyFont="1" applyFill="1" applyBorder="1" applyAlignment="1">
      <alignment wrapText="1"/>
    </xf>
    <xf numFmtId="164" fontId="16" fillId="6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 wrapText="1"/>
    </xf>
    <xf numFmtId="3" fontId="8" fillId="6" borderId="2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wrapText="1"/>
    </xf>
    <xf numFmtId="0" fontId="0" fillId="5" borderId="0" xfId="0" applyFill="1" applyBorder="1" applyAlignment="1">
      <alignment horizontal="center"/>
    </xf>
    <xf numFmtId="0" fontId="16" fillId="5" borderId="2" xfId="0" applyFont="1" applyFill="1" applyBorder="1" applyAlignment="1">
      <alignment horizontal="center" vertical="center"/>
    </xf>
    <xf numFmtId="165" fontId="16" fillId="5" borderId="2" xfId="0" applyNumberFormat="1" applyFont="1" applyFill="1" applyBorder="1" applyAlignment="1">
      <alignment horizontal="center" vertical="center"/>
    </xf>
    <xf numFmtId="164" fontId="16" fillId="5" borderId="2" xfId="0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wrapText="1"/>
    </xf>
    <xf numFmtId="0" fontId="16" fillId="6" borderId="3" xfId="0" applyFont="1" applyFill="1" applyBorder="1" applyAlignment="1">
      <alignment horizontal="center" vertical="center"/>
    </xf>
    <xf numFmtId="164" fontId="8" fillId="6" borderId="3" xfId="0" applyNumberFormat="1" applyFont="1" applyFill="1" applyBorder="1" applyAlignment="1">
      <alignment horizontal="center" vertical="center"/>
    </xf>
    <xf numFmtId="164" fontId="8" fillId="6" borderId="25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wrapText="1"/>
    </xf>
    <xf numFmtId="164" fontId="8" fillId="6" borderId="10" xfId="0" applyNumberFormat="1" applyFont="1" applyFill="1" applyBorder="1" applyAlignment="1">
      <alignment horizontal="center" vertical="center"/>
    </xf>
    <xf numFmtId="4" fontId="8" fillId="6" borderId="10" xfId="0" applyNumberFormat="1" applyFont="1" applyFill="1" applyBorder="1" applyAlignment="1">
      <alignment horizontal="center"/>
    </xf>
    <xf numFmtId="4" fontId="8" fillId="6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 shrinkToFit="1"/>
    </xf>
    <xf numFmtId="0" fontId="23" fillId="0" borderId="0" xfId="0" applyFont="1"/>
    <xf numFmtId="2" fontId="8" fillId="6" borderId="10" xfId="0" applyNumberFormat="1" applyFont="1" applyFill="1" applyBorder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0" fontId="7" fillId="7" borderId="2" xfId="0" applyFont="1" applyFill="1" applyBorder="1"/>
    <xf numFmtId="0" fontId="0" fillId="7" borderId="2" xfId="0" applyFill="1" applyBorder="1" applyAlignment="1">
      <alignment horizontal="center"/>
    </xf>
    <xf numFmtId="4" fontId="0" fillId="7" borderId="2" xfId="0" applyNumberFormat="1" applyFill="1" applyBorder="1"/>
    <xf numFmtId="0" fontId="11" fillId="2" borderId="2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0" fontId="24" fillId="0" borderId="0" xfId="0" applyFont="1"/>
    <xf numFmtId="164" fontId="24" fillId="0" borderId="0" xfId="0" applyNumberFormat="1" applyFont="1"/>
    <xf numFmtId="0" fontId="10" fillId="2" borderId="1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4" fontId="21" fillId="2" borderId="3" xfId="0" applyNumberFormat="1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164" fontId="21" fillId="2" borderId="27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center" wrapText="1"/>
    </xf>
    <xf numFmtId="164" fontId="0" fillId="2" borderId="0" xfId="0" applyNumberFormat="1" applyFill="1"/>
    <xf numFmtId="2" fontId="3" fillId="0" borderId="8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8" borderId="2" xfId="0" applyFill="1" applyBorder="1"/>
    <xf numFmtId="0" fontId="0" fillId="8" borderId="2" xfId="0" applyFill="1" applyBorder="1" applyAlignment="1">
      <alignment horizontal="center"/>
    </xf>
    <xf numFmtId="4" fontId="0" fillId="8" borderId="2" xfId="0" applyNumberFormat="1" applyFill="1" applyBorder="1"/>
    <xf numFmtId="4" fontId="2" fillId="2" borderId="0" xfId="0" applyNumberFormat="1" applyFont="1" applyFill="1" applyBorder="1" applyAlignment="1">
      <alignment vertical="center"/>
    </xf>
    <xf numFmtId="0" fontId="2" fillId="0" borderId="0" xfId="0" applyFont="1" applyAlignment="1"/>
    <xf numFmtId="164" fontId="25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5" fillId="2" borderId="0" xfId="0" applyFont="1" applyFill="1"/>
    <xf numFmtId="0" fontId="25" fillId="2" borderId="5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164" fontId="26" fillId="2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164" fontId="25" fillId="0" borderId="2" xfId="0" applyNumberFormat="1" applyFont="1" applyFill="1" applyBorder="1" applyAlignment="1">
      <alignment horizontal="center" vertical="center" wrapText="1"/>
    </xf>
    <xf numFmtId="164" fontId="2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11" fillId="0" borderId="8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 wrapText="1"/>
    </xf>
    <xf numFmtId="164" fontId="18" fillId="0" borderId="18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/>
    <xf numFmtId="4" fontId="4" fillId="3" borderId="2" xfId="0" applyNumberFormat="1" applyFont="1" applyFill="1" applyBorder="1" applyAlignment="1"/>
    <xf numFmtId="164" fontId="21" fillId="3" borderId="2" xfId="0" applyNumberFormat="1" applyFont="1" applyFill="1" applyBorder="1" applyAlignment="1">
      <alignment horizontal="center" vertical="center" wrapText="1"/>
    </xf>
    <xf numFmtId="165" fontId="21" fillId="3" borderId="2" xfId="0" applyNumberFormat="1" applyFont="1" applyFill="1" applyBorder="1" applyAlignment="1">
      <alignment horizontal="center" vertical="center" wrapText="1"/>
    </xf>
    <xf numFmtId="164" fontId="25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0"/>
  <sheetViews>
    <sheetView topLeftCell="B1" workbookViewId="0">
      <selection activeCell="H19" sqref="H19"/>
    </sheetView>
  </sheetViews>
  <sheetFormatPr defaultRowHeight="15" x14ac:dyDescent="0.25"/>
  <cols>
    <col min="2" max="2" width="62" bestFit="1" customWidth="1"/>
    <col min="3" max="3" width="17.5703125" customWidth="1"/>
    <col min="4" max="4" width="19.28515625" customWidth="1"/>
    <col min="6" max="6" width="12.42578125" bestFit="1" customWidth="1"/>
    <col min="7" max="7" width="12.85546875" customWidth="1"/>
    <col min="8" max="8" width="13.85546875" customWidth="1"/>
  </cols>
  <sheetData>
    <row r="2" spans="1:6" ht="15.75" customHeight="1" x14ac:dyDescent="0.25">
      <c r="A2" s="39" t="s">
        <v>15</v>
      </c>
      <c r="B2" s="39" t="s">
        <v>16</v>
      </c>
      <c r="C2" s="39" t="s">
        <v>44</v>
      </c>
      <c r="D2" s="39" t="s">
        <v>17</v>
      </c>
    </row>
    <row r="3" spans="1:6" x14ac:dyDescent="0.25">
      <c r="A3" s="37">
        <v>1</v>
      </c>
      <c r="B3" s="37" t="s">
        <v>18</v>
      </c>
      <c r="C3" s="41" t="s">
        <v>45</v>
      </c>
      <c r="D3" s="38">
        <v>676340.1</v>
      </c>
    </row>
    <row r="4" spans="1:6" x14ac:dyDescent="0.25">
      <c r="A4" s="37">
        <v>2</v>
      </c>
      <c r="B4" s="37" t="s">
        <v>19</v>
      </c>
      <c r="C4" s="41" t="s">
        <v>45</v>
      </c>
      <c r="D4" s="38">
        <v>463010.81</v>
      </c>
    </row>
    <row r="5" spans="1:6" x14ac:dyDescent="0.25">
      <c r="A5" s="37">
        <v>3</v>
      </c>
      <c r="B5" s="37" t="s">
        <v>20</v>
      </c>
      <c r="C5" s="41" t="s">
        <v>45</v>
      </c>
      <c r="D5" s="38">
        <v>608705.93999999994</v>
      </c>
    </row>
    <row r="6" spans="1:6" x14ac:dyDescent="0.25">
      <c r="A6" s="37">
        <v>4</v>
      </c>
      <c r="B6" s="37" t="s">
        <v>21</v>
      </c>
      <c r="C6" s="41" t="s">
        <v>45</v>
      </c>
      <c r="D6" s="38">
        <v>415691.58</v>
      </c>
    </row>
    <row r="7" spans="1:6" x14ac:dyDescent="0.25">
      <c r="A7" s="42"/>
      <c r="B7" s="50" t="s">
        <v>22</v>
      </c>
      <c r="C7" s="43"/>
      <c r="D7" s="44">
        <f>SUM(D3:D6)</f>
        <v>2163748.4299999997</v>
      </c>
    </row>
    <row r="8" spans="1:6" x14ac:dyDescent="0.25">
      <c r="A8" s="37"/>
      <c r="B8" s="148" t="s">
        <v>48</v>
      </c>
      <c r="C8" s="149" t="s">
        <v>47</v>
      </c>
      <c r="D8" s="150">
        <v>304471.78000000003</v>
      </c>
    </row>
    <row r="9" spans="1:6" x14ac:dyDescent="0.25">
      <c r="A9" s="35">
        <v>5</v>
      </c>
      <c r="B9" s="35" t="s">
        <v>23</v>
      </c>
      <c r="C9" s="40" t="s">
        <v>47</v>
      </c>
      <c r="D9" s="36">
        <v>173983.45</v>
      </c>
      <c r="F9" s="34"/>
    </row>
    <row r="10" spans="1:6" x14ac:dyDescent="0.25">
      <c r="A10" s="37">
        <v>6</v>
      </c>
      <c r="B10" s="172" t="s">
        <v>182</v>
      </c>
      <c r="C10" s="173" t="s">
        <v>47</v>
      </c>
      <c r="D10" s="174">
        <v>326219.84000000003</v>
      </c>
    </row>
    <row r="11" spans="1:6" x14ac:dyDescent="0.25">
      <c r="A11" s="35">
        <v>7</v>
      </c>
      <c r="B11" s="37" t="s">
        <v>24</v>
      </c>
      <c r="C11" s="41" t="s">
        <v>45</v>
      </c>
      <c r="D11" s="38">
        <v>130487.34</v>
      </c>
    </row>
    <row r="12" spans="1:6" x14ac:dyDescent="0.25">
      <c r="A12" s="35">
        <v>8</v>
      </c>
      <c r="B12" s="35" t="s">
        <v>25</v>
      </c>
      <c r="C12" s="40" t="s">
        <v>47</v>
      </c>
      <c r="D12" s="36">
        <v>326219.84000000003</v>
      </c>
    </row>
    <row r="13" spans="1:6" x14ac:dyDescent="0.25">
      <c r="A13" s="37">
        <v>9</v>
      </c>
      <c r="B13" s="37" t="s">
        <v>26</v>
      </c>
      <c r="C13" s="41" t="s">
        <v>46</v>
      </c>
      <c r="D13" s="38">
        <v>135924.35</v>
      </c>
    </row>
    <row r="14" spans="1:6" x14ac:dyDescent="0.25">
      <c r="A14" s="35">
        <v>10</v>
      </c>
      <c r="B14" s="35" t="s">
        <v>27</v>
      </c>
      <c r="C14" s="40" t="s">
        <v>47</v>
      </c>
      <c r="D14" s="36">
        <v>152235.39000000001</v>
      </c>
    </row>
    <row r="15" spans="1:6" s="48" customFormat="1" x14ac:dyDescent="0.25">
      <c r="A15" s="45">
        <v>11</v>
      </c>
      <c r="B15" s="45" t="s">
        <v>28</v>
      </c>
      <c r="C15" s="46" t="s">
        <v>47</v>
      </c>
      <c r="D15" s="47">
        <v>1720589.48</v>
      </c>
    </row>
    <row r="16" spans="1:6" x14ac:dyDescent="0.25">
      <c r="A16" s="42"/>
      <c r="B16" s="50" t="s">
        <v>29</v>
      </c>
      <c r="C16" s="43"/>
      <c r="D16" s="44">
        <f>SUM(D8:D15)</f>
        <v>3270131.47</v>
      </c>
    </row>
    <row r="17" spans="1:8" x14ac:dyDescent="0.25">
      <c r="A17" s="35">
        <v>12</v>
      </c>
      <c r="B17" s="35" t="s">
        <v>30</v>
      </c>
      <c r="C17" s="46" t="s">
        <v>47</v>
      </c>
      <c r="D17" s="36">
        <f>189075.54+197669.92</f>
        <v>386745.46</v>
      </c>
      <c r="F17" s="34"/>
    </row>
    <row r="18" spans="1:8" x14ac:dyDescent="0.25">
      <c r="A18" s="37">
        <v>13</v>
      </c>
      <c r="B18" s="37" t="s">
        <v>31</v>
      </c>
      <c r="C18" s="41" t="s">
        <v>46</v>
      </c>
      <c r="D18" s="38">
        <f>85942.88*2</f>
        <v>171885.76</v>
      </c>
      <c r="G18" s="52" t="s">
        <v>50</v>
      </c>
      <c r="H18" s="53" t="s">
        <v>51</v>
      </c>
    </row>
    <row r="19" spans="1:8" x14ac:dyDescent="0.25">
      <c r="A19" s="35">
        <v>14</v>
      </c>
      <c r="B19" s="35" t="s">
        <v>32</v>
      </c>
      <c r="C19" s="46" t="s">
        <v>47</v>
      </c>
      <c r="D19" s="36">
        <f>266425.03+232047.48</f>
        <v>498472.51</v>
      </c>
      <c r="F19" s="51" t="s">
        <v>49</v>
      </c>
      <c r="G19" s="34">
        <f>D9+D12+D14+D15+D17+D19+D20+D8+D10</f>
        <v>4012046.0199999996</v>
      </c>
      <c r="H19" s="34">
        <f>G19*29.97%+45.26</f>
        <v>1202455.4521939997</v>
      </c>
    </row>
    <row r="20" spans="1:8" x14ac:dyDescent="0.25">
      <c r="A20" s="35">
        <v>15</v>
      </c>
      <c r="B20" s="35" t="s">
        <v>33</v>
      </c>
      <c r="C20" s="46" t="s">
        <v>47</v>
      </c>
      <c r="D20" s="36">
        <v>123108.27</v>
      </c>
      <c r="F20" s="51" t="s">
        <v>45</v>
      </c>
      <c r="G20" s="34">
        <f>D3+D4+D5+D6+D13+D18+D21+D22+D23+D24+D25+D26+D27+D28+D11</f>
        <v>6672153.9799999995</v>
      </c>
      <c r="H20" s="34">
        <f>G20*29.97%</f>
        <v>1999644.5478059996</v>
      </c>
    </row>
    <row r="21" spans="1:8" s="48" customFormat="1" x14ac:dyDescent="0.25">
      <c r="A21" s="37">
        <v>16</v>
      </c>
      <c r="B21" s="37" t="s">
        <v>34</v>
      </c>
      <c r="C21" s="41" t="s">
        <v>46</v>
      </c>
      <c r="D21" s="38">
        <v>708618.46</v>
      </c>
      <c r="F21" s="49"/>
      <c r="G21" s="49">
        <f>G19+G20</f>
        <v>10684200</v>
      </c>
      <c r="H21" s="49">
        <f>H19+H20</f>
        <v>3202099.9999999991</v>
      </c>
    </row>
    <row r="22" spans="1:8" s="48" customFormat="1" x14ac:dyDescent="0.25">
      <c r="A22" s="37">
        <v>17</v>
      </c>
      <c r="B22" s="37" t="s">
        <v>35</v>
      </c>
      <c r="C22" s="41" t="s">
        <v>46</v>
      </c>
      <c r="D22" s="38">
        <v>284097.32</v>
      </c>
    </row>
    <row r="23" spans="1:8" s="48" customFormat="1" x14ac:dyDescent="0.25">
      <c r="A23" s="37">
        <v>18</v>
      </c>
      <c r="B23" s="37" t="s">
        <v>36</v>
      </c>
      <c r="C23" s="41" t="s">
        <v>46</v>
      </c>
      <c r="D23" s="38">
        <v>292208.19</v>
      </c>
    </row>
    <row r="24" spans="1:8" s="48" customFormat="1" x14ac:dyDescent="0.25">
      <c r="A24" s="37">
        <v>19</v>
      </c>
      <c r="B24" s="37" t="s">
        <v>37</v>
      </c>
      <c r="C24" s="41" t="s">
        <v>46</v>
      </c>
      <c r="D24" s="38">
        <v>255215.59</v>
      </c>
    </row>
    <row r="25" spans="1:8" s="48" customFormat="1" x14ac:dyDescent="0.25">
      <c r="A25" s="37">
        <v>20</v>
      </c>
      <c r="B25" s="37" t="s">
        <v>38</v>
      </c>
      <c r="C25" s="41" t="s">
        <v>46</v>
      </c>
      <c r="D25" s="38">
        <v>673539.14</v>
      </c>
    </row>
    <row r="26" spans="1:8" s="48" customFormat="1" x14ac:dyDescent="0.25">
      <c r="A26" s="37">
        <v>21</v>
      </c>
      <c r="B26" s="37" t="s">
        <v>39</v>
      </c>
      <c r="C26" s="41" t="s">
        <v>46</v>
      </c>
      <c r="D26" s="38">
        <f>161368.47+175400.6</f>
        <v>336769.07</v>
      </c>
    </row>
    <row r="27" spans="1:8" s="48" customFormat="1" x14ac:dyDescent="0.25">
      <c r="A27" s="37">
        <v>22</v>
      </c>
      <c r="B27" s="37" t="s">
        <v>40</v>
      </c>
      <c r="C27" s="41" t="s">
        <v>46</v>
      </c>
      <c r="D27" s="38">
        <v>223453.09</v>
      </c>
    </row>
    <row r="28" spans="1:8" s="48" customFormat="1" x14ac:dyDescent="0.25">
      <c r="A28" s="37">
        <v>23</v>
      </c>
      <c r="B28" s="37" t="s">
        <v>41</v>
      </c>
      <c r="C28" s="41" t="s">
        <v>46</v>
      </c>
      <c r="D28" s="38">
        <f>1296207.24</f>
        <v>1296207.24</v>
      </c>
      <c r="F28" s="49"/>
      <c r="G28" s="49"/>
    </row>
    <row r="29" spans="1:8" x14ac:dyDescent="0.25">
      <c r="A29" s="42"/>
      <c r="B29" s="50" t="s">
        <v>42</v>
      </c>
      <c r="C29" s="43"/>
      <c r="D29" s="44">
        <f>SUM(D17:D28)</f>
        <v>5250320.0999999996</v>
      </c>
      <c r="F29" s="34"/>
    </row>
    <row r="30" spans="1:8" x14ac:dyDescent="0.25">
      <c r="A30" s="35"/>
      <c r="B30" s="35" t="s">
        <v>43</v>
      </c>
      <c r="C30" s="35"/>
      <c r="D30" s="36">
        <f>D7+D16+D29</f>
        <v>10684200</v>
      </c>
      <c r="F30" s="34"/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L16" sqref="L16:L19"/>
    </sheetView>
  </sheetViews>
  <sheetFormatPr defaultRowHeight="15" x14ac:dyDescent="0.25"/>
  <cols>
    <col min="1" max="1" width="10.7109375" style="2" customWidth="1"/>
    <col min="2" max="2" width="7" style="2" customWidth="1"/>
    <col min="3" max="3" width="7.85546875" style="2" customWidth="1"/>
    <col min="4" max="4" width="11.5703125" style="2" customWidth="1"/>
    <col min="5" max="6" width="6.140625" style="2" bestFit="1" customWidth="1"/>
    <col min="7" max="7" width="7" style="2" bestFit="1" customWidth="1"/>
    <col min="8" max="8" width="9.85546875" style="2" customWidth="1"/>
    <col min="9" max="9" width="12.42578125" style="2" customWidth="1"/>
    <col min="10" max="10" width="12.28515625" style="2" customWidth="1"/>
    <col min="11" max="11" width="14.7109375" style="2" customWidth="1"/>
    <col min="12" max="12" width="16.140625" style="2" customWidth="1"/>
    <col min="13" max="13" width="12.28515625" style="2" customWidth="1"/>
    <col min="14" max="15" width="10.85546875" style="2" bestFit="1" customWidth="1"/>
    <col min="16" max="17" width="9.140625" style="2"/>
    <col min="18" max="18" width="13" style="2" customWidth="1"/>
    <col min="19" max="19" width="13.140625" style="2" customWidth="1"/>
    <col min="20" max="20" width="12.5703125" style="2" customWidth="1"/>
    <col min="21" max="21" width="12" style="2" customWidth="1"/>
    <col min="22" max="22" width="11.42578125" style="2" customWidth="1"/>
    <col min="23" max="16384" width="9.14062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2" ht="27" customHeight="1" x14ac:dyDescent="0.25">
      <c r="A2" s="3"/>
      <c r="B2" s="217" t="s">
        <v>53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22" x14ac:dyDescent="0.25">
      <c r="A3" s="3"/>
      <c r="B3" s="216" t="s">
        <v>0</v>
      </c>
      <c r="C3" s="218" t="s">
        <v>1</v>
      </c>
      <c r="D3" s="218" t="s">
        <v>2</v>
      </c>
      <c r="E3" s="218" t="s">
        <v>3</v>
      </c>
      <c r="F3" s="218" t="s">
        <v>4</v>
      </c>
      <c r="G3" s="216" t="s">
        <v>5</v>
      </c>
      <c r="H3" s="216" t="s">
        <v>6</v>
      </c>
      <c r="I3" s="219">
        <v>2017</v>
      </c>
      <c r="J3" s="218" t="s">
        <v>7</v>
      </c>
      <c r="K3" s="218"/>
      <c r="L3" s="218"/>
      <c r="M3" s="216" t="s">
        <v>8</v>
      </c>
      <c r="N3" s="4"/>
      <c r="O3" s="4"/>
      <c r="P3" s="4"/>
      <c r="Q3" s="4"/>
      <c r="R3" s="4"/>
      <c r="S3" s="4"/>
      <c r="T3" s="4"/>
      <c r="U3" s="4"/>
      <c r="V3" s="4"/>
    </row>
    <row r="4" spans="1:22" s="10" customFormat="1" ht="27.75" customHeight="1" x14ac:dyDescent="0.2">
      <c r="A4" s="5"/>
      <c r="B4" s="216"/>
      <c r="C4" s="218"/>
      <c r="D4" s="218"/>
      <c r="E4" s="218"/>
      <c r="F4" s="218"/>
      <c r="G4" s="216"/>
      <c r="H4" s="216"/>
      <c r="I4" s="219"/>
      <c r="J4" s="6" t="s">
        <v>9</v>
      </c>
      <c r="K4" s="7" t="s">
        <v>10</v>
      </c>
      <c r="L4" s="7" t="s">
        <v>11</v>
      </c>
      <c r="M4" s="216"/>
      <c r="N4" s="3"/>
      <c r="O4" s="8"/>
      <c r="P4" s="8"/>
      <c r="Q4" s="8"/>
      <c r="R4" s="9"/>
      <c r="S4" s="3"/>
      <c r="T4" s="3"/>
      <c r="U4" s="3"/>
      <c r="V4" s="8"/>
    </row>
    <row r="5" spans="1:22" s="19" customFormat="1" ht="12.75" x14ac:dyDescent="0.2">
      <c r="A5" s="11"/>
      <c r="B5" s="12" t="s">
        <v>12</v>
      </c>
      <c r="C5" s="12" t="s">
        <v>13</v>
      </c>
      <c r="D5" s="13" t="s">
        <v>52</v>
      </c>
      <c r="E5" s="14">
        <v>621</v>
      </c>
      <c r="F5" s="14">
        <v>211</v>
      </c>
      <c r="G5" s="14">
        <v>110</v>
      </c>
      <c r="H5" s="14" t="s">
        <v>14</v>
      </c>
      <c r="I5" s="33">
        <v>10684200</v>
      </c>
      <c r="J5" s="33">
        <f>I5</f>
        <v>10684200</v>
      </c>
      <c r="K5" s="33">
        <f>ЗП!G19</f>
        <v>4012046.0199999996</v>
      </c>
      <c r="L5" s="33">
        <f>J5-K5</f>
        <v>6672153.9800000004</v>
      </c>
      <c r="M5" s="33">
        <v>0</v>
      </c>
      <c r="N5" s="175">
        <f>I5-K5-L5</f>
        <v>0</v>
      </c>
      <c r="O5" s="163">
        <f>I5+I7</f>
        <v>13886300</v>
      </c>
      <c r="P5" s="15"/>
      <c r="Q5" s="15"/>
      <c r="R5" s="16"/>
      <c r="S5" s="17"/>
      <c r="T5" s="18"/>
      <c r="U5" s="18"/>
      <c r="V5" s="15"/>
    </row>
    <row r="6" spans="1:22" s="10" customFormat="1" ht="12.75" x14ac:dyDescent="0.2">
      <c r="A6" s="5"/>
      <c r="B6" s="20" t="s">
        <v>12</v>
      </c>
      <c r="C6" s="20" t="s">
        <v>13</v>
      </c>
      <c r="D6" s="13" t="s">
        <v>52</v>
      </c>
      <c r="E6" s="14">
        <v>621</v>
      </c>
      <c r="F6" s="21">
        <v>212</v>
      </c>
      <c r="G6" s="14">
        <v>120</v>
      </c>
      <c r="H6" s="21" t="s">
        <v>14</v>
      </c>
      <c r="I6" s="33">
        <v>390000</v>
      </c>
      <c r="J6" s="33">
        <f>I6</f>
        <v>390000</v>
      </c>
      <c r="K6" s="33">
        <v>0</v>
      </c>
      <c r="L6" s="33">
        <f>J6</f>
        <v>390000</v>
      </c>
      <c r="M6" s="33">
        <v>0</v>
      </c>
      <c r="N6" s="175">
        <f t="shared" ref="N6:N24" si="0">I6-K6-L6</f>
        <v>0</v>
      </c>
      <c r="O6" s="22"/>
      <c r="P6" s="22"/>
      <c r="Q6" s="23"/>
      <c r="R6" s="24"/>
      <c r="S6" s="24"/>
      <c r="T6" s="24"/>
      <c r="U6" s="24"/>
      <c r="V6" s="24"/>
    </row>
    <row r="7" spans="1:22" s="10" customFormat="1" ht="12.75" x14ac:dyDescent="0.2">
      <c r="A7" s="5"/>
      <c r="B7" s="20" t="s">
        <v>12</v>
      </c>
      <c r="C7" s="20" t="s">
        <v>13</v>
      </c>
      <c r="D7" s="13" t="s">
        <v>52</v>
      </c>
      <c r="E7" s="14">
        <v>621</v>
      </c>
      <c r="F7" s="21">
        <v>213</v>
      </c>
      <c r="G7" s="21">
        <v>130</v>
      </c>
      <c r="H7" s="21" t="s">
        <v>14</v>
      </c>
      <c r="I7" s="33">
        <v>3202100</v>
      </c>
      <c r="J7" s="33">
        <f>I7</f>
        <v>3202100</v>
      </c>
      <c r="K7" s="33">
        <f>ЗП!H19</f>
        <v>1202455.4521939997</v>
      </c>
      <c r="L7" s="33">
        <f>I7-K7</f>
        <v>1999644.5478060003</v>
      </c>
      <c r="M7" s="33">
        <v>0</v>
      </c>
      <c r="N7" s="175">
        <f t="shared" si="0"/>
        <v>0</v>
      </c>
      <c r="O7" s="22"/>
      <c r="P7" s="22"/>
      <c r="Q7" s="23"/>
      <c r="R7" s="24"/>
      <c r="S7" s="24"/>
      <c r="T7" s="24"/>
      <c r="U7" s="24"/>
      <c r="V7" s="24"/>
    </row>
    <row r="8" spans="1:22" s="10" customFormat="1" ht="12.75" x14ac:dyDescent="0.2">
      <c r="A8" s="5"/>
      <c r="B8" s="12" t="s">
        <v>12</v>
      </c>
      <c r="C8" s="20" t="s">
        <v>13</v>
      </c>
      <c r="D8" s="13" t="s">
        <v>52</v>
      </c>
      <c r="E8" s="14">
        <v>621</v>
      </c>
      <c r="F8" s="25">
        <v>221</v>
      </c>
      <c r="G8" s="14">
        <v>210</v>
      </c>
      <c r="H8" s="21" t="s">
        <v>14</v>
      </c>
      <c r="I8" s="33">
        <v>78000</v>
      </c>
      <c r="J8" s="33">
        <f>I8</f>
        <v>78000</v>
      </c>
      <c r="K8" s="33">
        <v>0</v>
      </c>
      <c r="L8" s="33">
        <f>J8</f>
        <v>78000</v>
      </c>
      <c r="M8" s="33">
        <v>0</v>
      </c>
      <c r="N8" s="175">
        <f t="shared" si="0"/>
        <v>0</v>
      </c>
      <c r="O8" s="22"/>
      <c r="P8" s="22"/>
      <c r="Q8" s="23"/>
      <c r="R8" s="24"/>
      <c r="S8" s="24"/>
      <c r="T8" s="24"/>
      <c r="U8" s="24"/>
      <c r="V8" s="24"/>
    </row>
    <row r="9" spans="1:22" s="10" customFormat="1" ht="12.75" x14ac:dyDescent="0.2">
      <c r="A9" s="5"/>
      <c r="B9" s="20" t="s">
        <v>12</v>
      </c>
      <c r="C9" s="20" t="s">
        <v>13</v>
      </c>
      <c r="D9" s="13" t="s">
        <v>52</v>
      </c>
      <c r="E9" s="14">
        <v>621</v>
      </c>
      <c r="F9" s="25">
        <v>222</v>
      </c>
      <c r="G9" s="14">
        <v>220</v>
      </c>
      <c r="H9" s="21" t="s">
        <v>14</v>
      </c>
      <c r="I9" s="33">
        <v>700000</v>
      </c>
      <c r="J9" s="33">
        <f>I9</f>
        <v>700000</v>
      </c>
      <c r="K9" s="209">
        <v>441000</v>
      </c>
      <c r="L9" s="33">
        <f>J9-K9</f>
        <v>259000</v>
      </c>
      <c r="M9" s="33">
        <v>0</v>
      </c>
      <c r="N9" s="175">
        <f t="shared" si="0"/>
        <v>0</v>
      </c>
      <c r="O9" s="22"/>
      <c r="P9" s="22"/>
      <c r="Q9" s="23"/>
      <c r="R9" s="24"/>
      <c r="S9" s="24"/>
      <c r="T9" s="24"/>
      <c r="U9" s="24"/>
      <c r="V9" s="24"/>
    </row>
    <row r="10" spans="1:22" s="10" customFormat="1" ht="12.75" x14ac:dyDescent="0.2">
      <c r="A10" s="5"/>
      <c r="B10" s="20" t="s">
        <v>12</v>
      </c>
      <c r="C10" s="20" t="s">
        <v>13</v>
      </c>
      <c r="D10" s="13" t="s">
        <v>52</v>
      </c>
      <c r="E10" s="14">
        <v>621</v>
      </c>
      <c r="F10" s="25">
        <v>223</v>
      </c>
      <c r="G10" s="14">
        <v>231</v>
      </c>
      <c r="H10" s="21" t="s">
        <v>14</v>
      </c>
      <c r="I10" s="33">
        <v>1111300</v>
      </c>
      <c r="J10" s="33">
        <f>I10/2</f>
        <v>555650</v>
      </c>
      <c r="K10" s="33">
        <v>0</v>
      </c>
      <c r="L10" s="33">
        <f>J10</f>
        <v>555650</v>
      </c>
      <c r="M10" s="33">
        <f>I10-J10</f>
        <v>555650</v>
      </c>
      <c r="N10" s="175">
        <f t="shared" si="0"/>
        <v>555650</v>
      </c>
      <c r="O10" s="22"/>
      <c r="P10" s="22"/>
      <c r="Q10" s="23"/>
      <c r="R10" s="24"/>
      <c r="S10" s="24"/>
      <c r="T10" s="24"/>
      <c r="U10" s="24"/>
      <c r="V10" s="24"/>
    </row>
    <row r="11" spans="1:22" s="10" customFormat="1" ht="12.75" x14ac:dyDescent="0.2">
      <c r="A11" s="5"/>
      <c r="B11" s="12" t="s">
        <v>12</v>
      </c>
      <c r="C11" s="20" t="s">
        <v>13</v>
      </c>
      <c r="D11" s="13" t="s">
        <v>52</v>
      </c>
      <c r="E11" s="14">
        <v>621</v>
      </c>
      <c r="F11" s="25">
        <v>223</v>
      </c>
      <c r="G11" s="14">
        <v>232</v>
      </c>
      <c r="H11" s="21" t="s">
        <v>14</v>
      </c>
      <c r="I11" s="33">
        <v>889900</v>
      </c>
      <c r="J11" s="54">
        <f>L11</f>
        <v>800910</v>
      </c>
      <c r="K11" s="33">
        <v>0</v>
      </c>
      <c r="L11" s="33">
        <f>I11*90%</f>
        <v>800910</v>
      </c>
      <c r="M11" s="33">
        <f>I11*10%</f>
        <v>88990</v>
      </c>
      <c r="N11" s="175">
        <f t="shared" si="0"/>
        <v>88990</v>
      </c>
      <c r="O11" s="22"/>
      <c r="P11" s="22"/>
      <c r="Q11" s="23"/>
      <c r="R11" s="24"/>
      <c r="S11" s="24"/>
      <c r="T11" s="24"/>
      <c r="U11" s="24"/>
      <c r="V11" s="24"/>
    </row>
    <row r="12" spans="1:22" s="10" customFormat="1" ht="12.75" x14ac:dyDescent="0.2">
      <c r="A12" s="5"/>
      <c r="B12" s="20" t="s">
        <v>12</v>
      </c>
      <c r="C12" s="20" t="s">
        <v>13</v>
      </c>
      <c r="D12" s="13" t="s">
        <v>52</v>
      </c>
      <c r="E12" s="14">
        <v>621</v>
      </c>
      <c r="F12" s="25">
        <v>223</v>
      </c>
      <c r="G12" s="14">
        <v>233</v>
      </c>
      <c r="H12" s="21" t="s">
        <v>14</v>
      </c>
      <c r="I12" s="33">
        <v>30000</v>
      </c>
      <c r="J12" s="33">
        <f>I12</f>
        <v>30000</v>
      </c>
      <c r="K12" s="33">
        <v>0</v>
      </c>
      <c r="L12" s="33">
        <f>J12</f>
        <v>30000</v>
      </c>
      <c r="M12" s="33">
        <v>0</v>
      </c>
      <c r="N12" s="175">
        <f t="shared" si="0"/>
        <v>0</v>
      </c>
      <c r="O12" s="22"/>
      <c r="P12" s="22"/>
      <c r="Q12" s="23"/>
      <c r="R12" s="24"/>
      <c r="S12" s="24"/>
      <c r="T12" s="24"/>
      <c r="U12" s="24"/>
      <c r="V12" s="24"/>
    </row>
    <row r="13" spans="1:22" s="10" customFormat="1" ht="12.75" x14ac:dyDescent="0.2">
      <c r="A13" s="5"/>
      <c r="B13" s="20" t="s">
        <v>12</v>
      </c>
      <c r="C13" s="20" t="s">
        <v>13</v>
      </c>
      <c r="D13" s="13" t="s">
        <v>52</v>
      </c>
      <c r="E13" s="14">
        <v>621</v>
      </c>
      <c r="F13" s="25">
        <v>225</v>
      </c>
      <c r="G13" s="14">
        <v>251</v>
      </c>
      <c r="H13" s="21" t="s">
        <v>14</v>
      </c>
      <c r="I13" s="33">
        <v>470000</v>
      </c>
      <c r="J13" s="33">
        <f>I13</f>
        <v>470000</v>
      </c>
      <c r="K13" s="33">
        <v>0</v>
      </c>
      <c r="L13" s="33">
        <f>J13</f>
        <v>470000</v>
      </c>
      <c r="M13" s="33">
        <v>0</v>
      </c>
      <c r="N13" s="175">
        <f t="shared" si="0"/>
        <v>0</v>
      </c>
      <c r="O13" s="22"/>
      <c r="P13" s="22"/>
      <c r="Q13" s="23"/>
      <c r="R13" s="24"/>
      <c r="S13" s="24"/>
      <c r="T13" s="24"/>
      <c r="U13" s="24"/>
      <c r="V13" s="24"/>
    </row>
    <row r="14" spans="1:22" s="10" customFormat="1" ht="12.75" x14ac:dyDescent="0.2">
      <c r="A14" s="5"/>
      <c r="B14" s="12" t="s">
        <v>12</v>
      </c>
      <c r="C14" s="20" t="s">
        <v>13</v>
      </c>
      <c r="D14" s="13" t="s">
        <v>52</v>
      </c>
      <c r="E14" s="14">
        <v>621</v>
      </c>
      <c r="F14" s="21">
        <v>225</v>
      </c>
      <c r="G14" s="14">
        <v>255</v>
      </c>
      <c r="H14" s="21" t="s">
        <v>14</v>
      </c>
      <c r="I14" s="33">
        <v>600000</v>
      </c>
      <c r="J14" s="33">
        <f t="shared" ref="J14:J22" si="1">I14</f>
        <v>600000</v>
      </c>
      <c r="K14" s="33">
        <v>0</v>
      </c>
      <c r="L14" s="33">
        <f>J14-K14</f>
        <v>600000</v>
      </c>
      <c r="M14" s="33">
        <v>0</v>
      </c>
      <c r="N14" s="175">
        <f t="shared" si="0"/>
        <v>0</v>
      </c>
      <c r="O14" s="22"/>
      <c r="P14" s="22"/>
      <c r="Q14" s="23"/>
      <c r="R14" s="24"/>
      <c r="S14" s="24"/>
      <c r="T14" s="24"/>
      <c r="U14" s="24"/>
      <c r="V14" s="24"/>
    </row>
    <row r="15" spans="1:22" s="10" customFormat="1" ht="12.75" x14ac:dyDescent="0.2">
      <c r="A15" s="5"/>
      <c r="B15" s="12"/>
      <c r="C15" s="20"/>
      <c r="D15" s="13"/>
      <c r="E15" s="14"/>
      <c r="F15" s="21">
        <v>226</v>
      </c>
      <c r="G15" s="14">
        <v>263</v>
      </c>
      <c r="H15" s="21"/>
      <c r="I15" s="33"/>
      <c r="J15" s="33">
        <v>0</v>
      </c>
      <c r="K15" s="33">
        <v>0</v>
      </c>
      <c r="L15" s="33">
        <v>0</v>
      </c>
      <c r="M15" s="33">
        <v>0</v>
      </c>
      <c r="N15" s="175">
        <f t="shared" si="0"/>
        <v>0</v>
      </c>
      <c r="O15" s="22"/>
      <c r="P15" s="22"/>
      <c r="Q15" s="23"/>
      <c r="R15" s="24"/>
      <c r="S15" s="24"/>
      <c r="T15" s="24"/>
      <c r="U15" s="24"/>
      <c r="V15" s="24"/>
    </row>
    <row r="16" spans="1:22" s="10" customFormat="1" ht="12.75" x14ac:dyDescent="0.2">
      <c r="A16" s="5"/>
      <c r="B16" s="20" t="s">
        <v>12</v>
      </c>
      <c r="C16" s="20" t="s">
        <v>13</v>
      </c>
      <c r="D16" s="13" t="s">
        <v>52</v>
      </c>
      <c r="E16" s="14">
        <v>621</v>
      </c>
      <c r="F16" s="21">
        <v>226</v>
      </c>
      <c r="G16" s="14">
        <v>264</v>
      </c>
      <c r="H16" s="21" t="s">
        <v>14</v>
      </c>
      <c r="I16" s="33">
        <v>1120000</v>
      </c>
      <c r="J16" s="33">
        <f t="shared" si="1"/>
        <v>1120000</v>
      </c>
      <c r="K16" s="33">
        <v>0</v>
      </c>
      <c r="L16" s="33">
        <f t="shared" ref="L16:L18" si="2">J16</f>
        <v>1120000</v>
      </c>
      <c r="M16" s="33">
        <v>0</v>
      </c>
      <c r="N16" s="175">
        <f t="shared" si="0"/>
        <v>0</v>
      </c>
      <c r="O16" s="22"/>
      <c r="P16" s="22"/>
      <c r="Q16" s="23"/>
      <c r="R16" s="24"/>
      <c r="S16" s="24"/>
      <c r="T16" s="24"/>
      <c r="U16" s="24"/>
      <c r="V16" s="24"/>
    </row>
    <row r="17" spans="1:26" s="10" customFormat="1" ht="12.75" x14ac:dyDescent="0.2">
      <c r="A17" s="5"/>
      <c r="B17" s="20" t="s">
        <v>12</v>
      </c>
      <c r="C17" s="20" t="s">
        <v>13</v>
      </c>
      <c r="D17" s="13" t="s">
        <v>52</v>
      </c>
      <c r="E17" s="14">
        <v>621</v>
      </c>
      <c r="F17" s="21">
        <v>226</v>
      </c>
      <c r="G17" s="14">
        <v>265</v>
      </c>
      <c r="H17" s="21" t="s">
        <v>14</v>
      </c>
      <c r="I17" s="33">
        <v>44000</v>
      </c>
      <c r="J17" s="33">
        <f t="shared" si="1"/>
        <v>44000</v>
      </c>
      <c r="K17" s="33">
        <v>0</v>
      </c>
      <c r="L17" s="33">
        <f>J17-K17</f>
        <v>44000</v>
      </c>
      <c r="M17" s="33">
        <v>0</v>
      </c>
      <c r="N17" s="175">
        <f t="shared" si="0"/>
        <v>0</v>
      </c>
      <c r="O17" s="22"/>
      <c r="P17" s="22"/>
      <c r="Q17" s="23"/>
      <c r="R17" s="24"/>
      <c r="S17" s="24"/>
      <c r="T17" s="24"/>
      <c r="U17" s="24"/>
      <c r="V17" s="24"/>
    </row>
    <row r="18" spans="1:26" s="10" customFormat="1" ht="12.75" x14ac:dyDescent="0.2">
      <c r="A18" s="5"/>
      <c r="B18" s="20" t="s">
        <v>12</v>
      </c>
      <c r="C18" s="20" t="s">
        <v>13</v>
      </c>
      <c r="D18" s="13" t="s">
        <v>52</v>
      </c>
      <c r="E18" s="14">
        <v>621</v>
      </c>
      <c r="F18" s="21">
        <v>226</v>
      </c>
      <c r="G18" s="14">
        <v>266</v>
      </c>
      <c r="H18" s="21" t="s">
        <v>14</v>
      </c>
      <c r="I18" s="33">
        <v>16000</v>
      </c>
      <c r="J18" s="33">
        <f t="shared" si="1"/>
        <v>16000</v>
      </c>
      <c r="K18" s="33">
        <v>0</v>
      </c>
      <c r="L18" s="33">
        <f t="shared" si="2"/>
        <v>16000</v>
      </c>
      <c r="M18" s="33">
        <v>0</v>
      </c>
      <c r="N18" s="175">
        <f t="shared" si="0"/>
        <v>0</v>
      </c>
      <c r="O18" s="22"/>
      <c r="P18" s="22"/>
      <c r="Q18" s="23"/>
      <c r="R18" s="24"/>
      <c r="S18" s="24"/>
      <c r="T18" s="24"/>
      <c r="U18" s="24"/>
      <c r="V18" s="24"/>
    </row>
    <row r="19" spans="1:26" s="10" customFormat="1" ht="12.75" x14ac:dyDescent="0.2">
      <c r="A19" s="5"/>
      <c r="B19" s="20" t="s">
        <v>12</v>
      </c>
      <c r="C19" s="20" t="s">
        <v>13</v>
      </c>
      <c r="D19" s="13" t="s">
        <v>52</v>
      </c>
      <c r="E19" s="14">
        <v>621</v>
      </c>
      <c r="F19" s="21">
        <v>226</v>
      </c>
      <c r="G19" s="14">
        <v>267</v>
      </c>
      <c r="H19" s="21" t="s">
        <v>14</v>
      </c>
      <c r="I19" s="33">
        <v>3700000</v>
      </c>
      <c r="J19" s="33">
        <f>I19</f>
        <v>3700000</v>
      </c>
      <c r="K19" s="208">
        <f>7319+37500+191520+206480+1100000</f>
        <v>1542819</v>
      </c>
      <c r="L19" s="54">
        <f>J19-K19</f>
        <v>2157181</v>
      </c>
      <c r="M19" s="55">
        <v>0</v>
      </c>
      <c r="N19" s="175">
        <f t="shared" si="0"/>
        <v>0</v>
      </c>
      <c r="O19" s="22"/>
      <c r="P19" s="22"/>
      <c r="Q19" s="23"/>
      <c r="R19" s="24"/>
      <c r="S19" s="24"/>
      <c r="T19" s="24"/>
      <c r="U19" s="24"/>
      <c r="V19" s="24"/>
    </row>
    <row r="20" spans="1:26" s="10" customFormat="1" ht="12.75" x14ac:dyDescent="0.2">
      <c r="A20" s="5"/>
      <c r="B20" s="20" t="s">
        <v>12</v>
      </c>
      <c r="C20" s="20" t="s">
        <v>13</v>
      </c>
      <c r="D20" s="13" t="s">
        <v>52</v>
      </c>
      <c r="E20" s="14">
        <v>621</v>
      </c>
      <c r="F20" s="14">
        <v>340</v>
      </c>
      <c r="G20" s="14">
        <v>341</v>
      </c>
      <c r="H20" s="21" t="s">
        <v>14</v>
      </c>
      <c r="I20" s="33">
        <v>446100</v>
      </c>
      <c r="J20" s="33">
        <f t="shared" si="1"/>
        <v>446100</v>
      </c>
      <c r="K20" s="33">
        <f>J20</f>
        <v>446100</v>
      </c>
      <c r="L20" s="33">
        <v>0</v>
      </c>
      <c r="M20" s="33">
        <v>0</v>
      </c>
      <c r="N20" s="175">
        <f t="shared" si="0"/>
        <v>0</v>
      </c>
      <c r="O20" s="22"/>
      <c r="P20" s="22"/>
      <c r="Q20" s="23"/>
      <c r="R20" s="24"/>
      <c r="S20" s="24"/>
      <c r="T20" s="24"/>
      <c r="U20" s="24"/>
      <c r="V20" s="24"/>
    </row>
    <row r="21" spans="1:26" s="10" customFormat="1" ht="12.75" x14ac:dyDescent="0.2">
      <c r="A21" s="5"/>
      <c r="B21" s="20" t="s">
        <v>12</v>
      </c>
      <c r="C21" s="20" t="s">
        <v>13</v>
      </c>
      <c r="D21" s="13" t="s">
        <v>52</v>
      </c>
      <c r="E21" s="14">
        <v>621</v>
      </c>
      <c r="F21" s="14">
        <v>340</v>
      </c>
      <c r="G21" s="14">
        <v>343</v>
      </c>
      <c r="H21" s="21" t="s">
        <v>14</v>
      </c>
      <c r="I21" s="33">
        <v>250000</v>
      </c>
      <c r="J21" s="33">
        <f t="shared" si="1"/>
        <v>250000</v>
      </c>
      <c r="K21" s="33">
        <f>I21</f>
        <v>250000</v>
      </c>
      <c r="L21" s="33">
        <v>0</v>
      </c>
      <c r="M21" s="33">
        <v>0</v>
      </c>
      <c r="N21" s="175">
        <f t="shared" si="0"/>
        <v>0</v>
      </c>
      <c r="O21" s="22"/>
      <c r="P21" s="22"/>
      <c r="Q21" s="23"/>
      <c r="R21" s="24"/>
      <c r="S21" s="24"/>
      <c r="T21" s="24"/>
      <c r="U21" s="24"/>
      <c r="V21" s="24"/>
    </row>
    <row r="22" spans="1:26" s="10" customFormat="1" ht="12.75" x14ac:dyDescent="0.2">
      <c r="A22" s="26"/>
      <c r="B22" s="20" t="s">
        <v>12</v>
      </c>
      <c r="C22" s="20" t="s">
        <v>13</v>
      </c>
      <c r="D22" s="13" t="s">
        <v>52</v>
      </c>
      <c r="E22" s="14">
        <v>621</v>
      </c>
      <c r="F22" s="21">
        <v>340</v>
      </c>
      <c r="G22" s="14">
        <v>344</v>
      </c>
      <c r="H22" s="21" t="s">
        <v>14</v>
      </c>
      <c r="I22" s="33">
        <v>670000</v>
      </c>
      <c r="J22" s="33">
        <f t="shared" si="1"/>
        <v>670000</v>
      </c>
      <c r="K22" s="209">
        <f>17700+418100+55000+2000+3360+3000+1500+4000+4200+2100+3000+1000+13735</f>
        <v>528695</v>
      </c>
      <c r="L22" s="33">
        <f>J22-K22</f>
        <v>141305</v>
      </c>
      <c r="M22" s="33">
        <v>0</v>
      </c>
      <c r="N22" s="175">
        <f t="shared" si="0"/>
        <v>0</v>
      </c>
      <c r="O22" s="22"/>
      <c r="P22" s="22"/>
      <c r="Q22" s="23"/>
      <c r="R22" s="24"/>
      <c r="S22" s="24"/>
      <c r="T22" s="24"/>
      <c r="U22" s="24"/>
      <c r="V22" s="24"/>
    </row>
    <row r="23" spans="1:26" s="10" customFormat="1" ht="12.75" x14ac:dyDescent="0.2">
      <c r="A23" s="5"/>
      <c r="B23" s="20" t="s">
        <v>12</v>
      </c>
      <c r="C23" s="20" t="s">
        <v>13</v>
      </c>
      <c r="D23" s="13" t="s">
        <v>52</v>
      </c>
      <c r="E23" s="14">
        <v>621</v>
      </c>
      <c r="F23" s="21">
        <v>290</v>
      </c>
      <c r="G23" s="14">
        <v>901</v>
      </c>
      <c r="H23" s="21" t="s">
        <v>14</v>
      </c>
      <c r="I23" s="33">
        <v>1176000</v>
      </c>
      <c r="J23" s="33">
        <v>0</v>
      </c>
      <c r="K23" s="33">
        <v>0</v>
      </c>
      <c r="L23" s="33">
        <v>0</v>
      </c>
      <c r="M23" s="33">
        <f>I23</f>
        <v>1176000</v>
      </c>
      <c r="N23" s="175">
        <f t="shared" si="0"/>
        <v>1176000</v>
      </c>
      <c r="O23" s="22"/>
      <c r="P23" s="22"/>
      <c r="Q23" s="23"/>
      <c r="R23" s="24"/>
      <c r="S23" s="24"/>
      <c r="T23" s="24"/>
      <c r="U23" s="24"/>
      <c r="V23" s="24"/>
    </row>
    <row r="24" spans="1:26" s="10" customFormat="1" ht="12.75" x14ac:dyDescent="0.2">
      <c r="I24" s="27">
        <f>SUM(I5:I23)</f>
        <v>25577600</v>
      </c>
      <c r="J24" s="27">
        <f t="shared" ref="J24:M24" si="3">SUM(J5:J23)</f>
        <v>23756960</v>
      </c>
      <c r="K24" s="27">
        <f>SUM(K5:K23)</f>
        <v>8423115.4721939992</v>
      </c>
      <c r="L24" s="27">
        <f>SUM(L5:L23)</f>
        <v>15333844.527806001</v>
      </c>
      <c r="M24" s="27">
        <f t="shared" si="3"/>
        <v>1820640</v>
      </c>
      <c r="N24" s="175">
        <f t="shared" si="0"/>
        <v>1820639.9999999981</v>
      </c>
      <c r="O24" s="22"/>
      <c r="P24" s="22"/>
      <c r="Q24" s="23"/>
      <c r="R24" s="24"/>
      <c r="S24" s="24"/>
      <c r="T24" s="24"/>
      <c r="U24" s="24"/>
      <c r="V24" s="24"/>
    </row>
    <row r="25" spans="1:26" s="10" customFormat="1" ht="12.75" x14ac:dyDescent="0.2">
      <c r="N25" s="22"/>
      <c r="O25" s="23"/>
      <c r="P25" s="23"/>
      <c r="Q25" s="23"/>
      <c r="R25" s="28"/>
      <c r="S25" s="28"/>
      <c r="T25" s="28"/>
      <c r="U25" s="28"/>
      <c r="V25" s="28"/>
    </row>
    <row r="26" spans="1:26" s="10" customFormat="1" ht="12.75" x14ac:dyDescent="0.2">
      <c r="I26" s="29"/>
      <c r="J26" s="29"/>
      <c r="K26" s="29"/>
      <c r="L26" s="29"/>
      <c r="M26" s="29"/>
      <c r="N26" s="29"/>
      <c r="O26" s="29"/>
    </row>
    <row r="27" spans="1:26" s="10" customFormat="1" ht="12.75" x14ac:dyDescent="0.2">
      <c r="I27" s="29"/>
      <c r="J27" s="29"/>
      <c r="K27" s="29"/>
      <c r="L27" s="29"/>
      <c r="M27" s="29"/>
      <c r="N27" s="29"/>
      <c r="O27" s="29"/>
    </row>
    <row r="28" spans="1:26" s="10" customFormat="1" ht="12.75" x14ac:dyDescent="0.2">
      <c r="A28" s="5"/>
      <c r="B28" s="32"/>
      <c r="C28" s="22"/>
      <c r="D28" s="22"/>
      <c r="E28" s="22"/>
      <c r="F28" s="22"/>
      <c r="G28" s="30"/>
      <c r="H28" s="22"/>
      <c r="I28" s="29"/>
      <c r="Z28" s="31"/>
    </row>
    <row r="29" spans="1:26" x14ac:dyDescent="0.25">
      <c r="I29" s="28"/>
      <c r="J29" s="28"/>
      <c r="K29" s="28"/>
    </row>
  </sheetData>
  <mergeCells count="11">
    <mergeCell ref="M3:M4"/>
    <mergeCell ref="B2:M2"/>
    <mergeCell ref="B3:B4"/>
    <mergeCell ref="C3:C4"/>
    <mergeCell ref="D3:D4"/>
    <mergeCell ref="E3:E4"/>
    <mergeCell ref="F3:F4"/>
    <mergeCell ref="G3:G4"/>
    <mergeCell ref="H3:H4"/>
    <mergeCell ref="I3:I4"/>
    <mergeCell ref="J3:L3"/>
  </mergeCells>
  <pageMargins left="0.31496062992125984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56"/>
  <sheetViews>
    <sheetView view="pageBreakPreview" topLeftCell="B1" zoomScale="75" zoomScaleSheetLayoutView="75" workbookViewId="0">
      <selection activeCell="O10" sqref="O10"/>
    </sheetView>
  </sheetViews>
  <sheetFormatPr defaultRowHeight="15" x14ac:dyDescent="0.25"/>
  <cols>
    <col min="1" max="1" width="6.28515625" customWidth="1"/>
    <col min="2" max="2" width="28.28515625" customWidth="1"/>
    <col min="3" max="3" width="13.140625" customWidth="1"/>
    <col min="4" max="4" width="15" customWidth="1"/>
    <col min="5" max="5" width="17" customWidth="1"/>
    <col min="6" max="6" width="18.28515625" customWidth="1"/>
    <col min="7" max="7" width="16.42578125" customWidth="1"/>
    <col min="8" max="8" width="17.7109375" customWidth="1"/>
    <col min="9" max="16" width="15" style="75" customWidth="1"/>
    <col min="17" max="17" width="12.42578125" customWidth="1"/>
    <col min="18" max="18" width="11.5703125" customWidth="1"/>
    <col min="19" max="19" width="11.85546875" customWidth="1"/>
  </cols>
  <sheetData>
    <row r="1" spans="1:19" s="56" customFormat="1" ht="11.25" x14ac:dyDescent="0.2">
      <c r="N1" s="167"/>
      <c r="P1" s="179" t="s">
        <v>54</v>
      </c>
    </row>
    <row r="2" spans="1:19" s="56" customFormat="1" ht="11.25" x14ac:dyDescent="0.2">
      <c r="K2" s="167"/>
      <c r="L2" s="176"/>
      <c r="M2" s="176"/>
      <c r="N2" s="167"/>
      <c r="O2" s="176"/>
      <c r="P2" s="179" t="s">
        <v>55</v>
      </c>
    </row>
    <row r="3" spans="1:19" s="56" customFormat="1" ht="11.25" x14ac:dyDescent="0.2">
      <c r="K3" s="167"/>
      <c r="L3" s="176"/>
      <c r="M3" s="176"/>
      <c r="N3" s="167"/>
      <c r="O3" s="176"/>
      <c r="P3" s="179" t="s">
        <v>56</v>
      </c>
    </row>
    <row r="4" spans="1:19" s="56" customFormat="1" ht="11.25" x14ac:dyDescent="0.2">
      <c r="K4" s="176"/>
      <c r="L4" s="176"/>
      <c r="M4" s="176"/>
      <c r="N4" s="167"/>
      <c r="O4" s="176"/>
      <c r="P4" s="179" t="s">
        <v>57</v>
      </c>
    </row>
    <row r="5" spans="1:19" ht="49.5" customHeight="1" x14ac:dyDescent="0.25">
      <c r="A5" s="225" t="s">
        <v>58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178"/>
      <c r="P5" s="178"/>
    </row>
    <row r="6" spans="1:19" ht="19.5" customHeight="1" thickBot="1" x14ac:dyDescent="0.3">
      <c r="A6" s="223" t="s">
        <v>174</v>
      </c>
      <c r="B6" s="223"/>
      <c r="C6" s="223"/>
      <c r="D6" s="223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13"/>
      <c r="P6" s="213"/>
    </row>
    <row r="7" spans="1:19" s="56" customFormat="1" ht="11.25" customHeight="1" x14ac:dyDescent="0.2">
      <c r="A7" s="227" t="s">
        <v>15</v>
      </c>
      <c r="B7" s="230" t="s">
        <v>59</v>
      </c>
      <c r="C7" s="230" t="s">
        <v>60</v>
      </c>
      <c r="D7" s="230" t="s">
        <v>61</v>
      </c>
      <c r="E7" s="221" t="s">
        <v>62</v>
      </c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</row>
    <row r="8" spans="1:19" s="56" customFormat="1" ht="31.5" customHeight="1" x14ac:dyDescent="0.2">
      <c r="A8" s="228"/>
      <c r="B8" s="231"/>
      <c r="C8" s="231"/>
      <c r="D8" s="231"/>
      <c r="E8" s="226" t="s">
        <v>173</v>
      </c>
      <c r="F8" s="226"/>
      <c r="G8" s="226" t="s">
        <v>172</v>
      </c>
      <c r="H8" s="226"/>
      <c r="I8" s="222" t="s">
        <v>192</v>
      </c>
      <c r="J8" s="222"/>
      <c r="K8" s="222"/>
      <c r="L8" s="222"/>
      <c r="M8" s="222"/>
      <c r="N8" s="222"/>
      <c r="O8" s="222"/>
      <c r="P8" s="222"/>
    </row>
    <row r="9" spans="1:19" s="56" customFormat="1" ht="55.5" customHeight="1" x14ac:dyDescent="0.2">
      <c r="A9" s="229"/>
      <c r="B9" s="232"/>
      <c r="C9" s="232"/>
      <c r="D9" s="232"/>
      <c r="E9" s="226"/>
      <c r="F9" s="226"/>
      <c r="G9" s="226"/>
      <c r="H9" s="226"/>
      <c r="I9" s="220" t="s">
        <v>186</v>
      </c>
      <c r="J9" s="220"/>
      <c r="K9" s="220" t="s">
        <v>187</v>
      </c>
      <c r="L9" s="220"/>
      <c r="M9" s="220" t="s">
        <v>193</v>
      </c>
      <c r="N9" s="220"/>
      <c r="O9" s="220" t="s">
        <v>194</v>
      </c>
      <c r="P9" s="220"/>
    </row>
    <row r="10" spans="1:19" s="56" customFormat="1" ht="23.25" x14ac:dyDescent="0.35">
      <c r="A10" s="229"/>
      <c r="B10" s="232"/>
      <c r="C10" s="232"/>
      <c r="D10" s="232"/>
      <c r="E10" s="113" t="s">
        <v>60</v>
      </c>
      <c r="F10" s="113" t="s">
        <v>63</v>
      </c>
      <c r="G10" s="113" t="s">
        <v>60</v>
      </c>
      <c r="H10" s="113" t="s">
        <v>63</v>
      </c>
      <c r="I10" s="113" t="s">
        <v>60</v>
      </c>
      <c r="J10" s="113" t="s">
        <v>63</v>
      </c>
      <c r="K10" s="113" t="s">
        <v>60</v>
      </c>
      <c r="L10" s="113" t="s">
        <v>63</v>
      </c>
      <c r="M10" s="113" t="s">
        <v>60</v>
      </c>
      <c r="N10" s="114" t="s">
        <v>63</v>
      </c>
      <c r="O10" s="113" t="s">
        <v>60</v>
      </c>
      <c r="P10" s="114" t="s">
        <v>63</v>
      </c>
      <c r="Q10" s="145">
        <v>5</v>
      </c>
    </row>
    <row r="11" spans="1:19" s="56" customFormat="1" ht="11.25" x14ac:dyDescent="0.2">
      <c r="A11" s="59">
        <v>1</v>
      </c>
      <c r="B11" s="60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1">
        <v>9</v>
      </c>
      <c r="J11" s="61">
        <v>10</v>
      </c>
      <c r="K11" s="61">
        <v>9</v>
      </c>
      <c r="L11" s="61">
        <v>10</v>
      </c>
      <c r="M11" s="61">
        <v>9</v>
      </c>
      <c r="N11" s="108">
        <v>10</v>
      </c>
      <c r="O11" s="61">
        <v>9</v>
      </c>
      <c r="P11" s="108">
        <v>10</v>
      </c>
    </row>
    <row r="12" spans="1:19" s="63" customFormat="1" ht="47.25" x14ac:dyDescent="0.25">
      <c r="A12" s="115">
        <v>1</v>
      </c>
      <c r="B12" s="116" t="s">
        <v>64</v>
      </c>
      <c r="C12" s="117">
        <f>C13+C20</f>
        <v>15.5</v>
      </c>
      <c r="D12" s="117">
        <f t="shared" ref="D12:N12" si="0">D13+D20</f>
        <v>4012.0460200000007</v>
      </c>
      <c r="E12" s="117">
        <f t="shared" si="0"/>
        <v>4.4000000000000004</v>
      </c>
      <c r="F12" s="117">
        <f t="shared" si="0"/>
        <v>1188.305175</v>
      </c>
      <c r="G12" s="117">
        <f t="shared" si="0"/>
        <v>3.65</v>
      </c>
      <c r="H12" s="117">
        <f t="shared" si="0"/>
        <v>923.63947000000007</v>
      </c>
      <c r="I12" s="117">
        <f t="shared" si="0"/>
        <v>2.65</v>
      </c>
      <c r="J12" s="117">
        <f t="shared" si="0"/>
        <v>674.40321500000005</v>
      </c>
      <c r="K12" s="117">
        <f t="shared" si="0"/>
        <v>2.4</v>
      </c>
      <c r="L12" s="117">
        <f t="shared" si="0"/>
        <v>612.84908000000007</v>
      </c>
      <c r="M12" s="117">
        <f t="shared" si="0"/>
        <v>2.1</v>
      </c>
      <c r="N12" s="117">
        <f t="shared" si="0"/>
        <v>306.42454000000004</v>
      </c>
      <c r="O12" s="117">
        <f t="shared" ref="O12:P12" si="1">O13+O20</f>
        <v>2.1</v>
      </c>
      <c r="P12" s="117">
        <f t="shared" si="1"/>
        <v>306.42454000000004</v>
      </c>
    </row>
    <row r="13" spans="1:19" s="63" customFormat="1" ht="15.75" x14ac:dyDescent="0.25">
      <c r="A13" s="115" t="s">
        <v>65</v>
      </c>
      <c r="B13" s="119" t="s">
        <v>66</v>
      </c>
      <c r="C13" s="117">
        <f t="shared" ref="C13:N13" si="2">SUM(C14:C19)</f>
        <v>11</v>
      </c>
      <c r="D13" s="117">
        <f t="shared" si="2"/>
        <v>3003.7197800000004</v>
      </c>
      <c r="E13" s="117">
        <f t="shared" si="2"/>
        <v>3</v>
      </c>
      <c r="F13" s="117">
        <f t="shared" si="2"/>
        <v>861.71982800000001</v>
      </c>
      <c r="G13" s="117">
        <f t="shared" si="2"/>
        <v>2</v>
      </c>
      <c r="H13" s="117">
        <f t="shared" si="2"/>
        <v>535.49998800000003</v>
      </c>
      <c r="I13" s="117">
        <f t="shared" si="2"/>
        <v>2</v>
      </c>
      <c r="J13" s="117">
        <f t="shared" si="2"/>
        <v>535.49998800000003</v>
      </c>
      <c r="K13" s="117">
        <f t="shared" si="2"/>
        <v>2</v>
      </c>
      <c r="L13" s="117">
        <f t="shared" si="2"/>
        <v>535.49998800000003</v>
      </c>
      <c r="M13" s="117">
        <f t="shared" si="2"/>
        <v>1.9</v>
      </c>
      <c r="N13" s="118">
        <f t="shared" si="2"/>
        <v>267.74999400000002</v>
      </c>
      <c r="O13" s="117">
        <f t="shared" ref="O13:P13" si="3">SUM(O14:O19)</f>
        <v>1.9</v>
      </c>
      <c r="P13" s="118">
        <f t="shared" si="3"/>
        <v>267.74999400000002</v>
      </c>
    </row>
    <row r="14" spans="1:19" ht="15.75" x14ac:dyDescent="0.25">
      <c r="A14" s="64"/>
      <c r="B14" s="120" t="s">
        <v>48</v>
      </c>
      <c r="C14" s="65">
        <v>1</v>
      </c>
      <c r="D14" s="122">
        <f>ЗП!D8/1000</f>
        <v>304.47178000000002</v>
      </c>
      <c r="E14" s="66">
        <f>C14/$Q$10</f>
        <v>0.2</v>
      </c>
      <c r="F14" s="66">
        <f>D14/$Q$10</f>
        <v>60.894356000000002</v>
      </c>
      <c r="G14" s="66">
        <f>C14/$Q$10</f>
        <v>0.2</v>
      </c>
      <c r="H14" s="66">
        <f>D14/$Q$10</f>
        <v>60.894356000000002</v>
      </c>
      <c r="I14" s="66">
        <f>C14/$Q$10</f>
        <v>0.2</v>
      </c>
      <c r="J14" s="66">
        <f>D14/$Q$10</f>
        <v>60.894356000000002</v>
      </c>
      <c r="K14" s="66">
        <f>C14/$Q$10</f>
        <v>0.2</v>
      </c>
      <c r="L14" s="66">
        <f>D14/$Q$10</f>
        <v>60.894356000000002</v>
      </c>
      <c r="M14" s="66">
        <v>0.1</v>
      </c>
      <c r="N14" s="66">
        <f>D14/$Q$10/2</f>
        <v>30.447178000000001</v>
      </c>
      <c r="O14" s="66">
        <v>0.1</v>
      </c>
      <c r="P14" s="66">
        <f>D14/$Q$10/2</f>
        <v>30.447178000000001</v>
      </c>
      <c r="Q14" s="110">
        <f>R14-S14</f>
        <v>0</v>
      </c>
      <c r="R14" s="109">
        <f>N14+L14+J14+H14+F14+P14</f>
        <v>304.47178000000002</v>
      </c>
      <c r="S14" s="34">
        <f t="shared" ref="S14:S19" si="4">D14</f>
        <v>304.47178000000002</v>
      </c>
    </row>
    <row r="15" spans="1:19" ht="15.75" x14ac:dyDescent="0.25">
      <c r="A15" s="64"/>
      <c r="B15" s="121" t="s">
        <v>23</v>
      </c>
      <c r="C15" s="65">
        <v>0.5</v>
      </c>
      <c r="D15" s="122">
        <f>ЗП!D9/1000</f>
        <v>173.98345</v>
      </c>
      <c r="E15" s="66">
        <f>C15/$Q$10</f>
        <v>0.1</v>
      </c>
      <c r="F15" s="66">
        <f>D15/$Q$10</f>
        <v>34.796689999999998</v>
      </c>
      <c r="G15" s="66">
        <f>C15/$Q$10</f>
        <v>0.1</v>
      </c>
      <c r="H15" s="66">
        <f>D15/$Q$10</f>
        <v>34.796689999999998</v>
      </c>
      <c r="I15" s="66">
        <f>C15/$Q$10</f>
        <v>0.1</v>
      </c>
      <c r="J15" s="66">
        <f>D15/$Q$10</f>
        <v>34.796689999999998</v>
      </c>
      <c r="K15" s="66">
        <f>C15/$Q$10</f>
        <v>0.1</v>
      </c>
      <c r="L15" s="66">
        <f>D15/$Q$10</f>
        <v>34.796689999999998</v>
      </c>
      <c r="M15" s="66">
        <v>0.5</v>
      </c>
      <c r="N15" s="66">
        <f t="shared" ref="N15:N19" si="5">D15/$Q$10/2</f>
        <v>17.398344999999999</v>
      </c>
      <c r="O15" s="66">
        <v>0.5</v>
      </c>
      <c r="P15" s="66">
        <f t="shared" ref="P15:P19" si="6">D15/$Q$10/2</f>
        <v>17.398344999999999</v>
      </c>
      <c r="Q15" s="110">
        <f t="shared" ref="Q15:Q45" si="7">R15-S15</f>
        <v>0</v>
      </c>
      <c r="R15" s="109">
        <f t="shared" ref="R15:R19" si="8">N15+L15+J15+H15+F15+P15</f>
        <v>173.98345</v>
      </c>
      <c r="S15" s="34">
        <f t="shared" si="4"/>
        <v>173.98345</v>
      </c>
    </row>
    <row r="16" spans="1:19" ht="15.75" x14ac:dyDescent="0.25">
      <c r="A16" s="64"/>
      <c r="B16" s="121" t="s">
        <v>183</v>
      </c>
      <c r="C16" s="65">
        <v>1</v>
      </c>
      <c r="D16" s="122">
        <f>ЗП!D10/1000</f>
        <v>326.21984000000003</v>
      </c>
      <c r="E16" s="66">
        <f>C16/1</f>
        <v>1</v>
      </c>
      <c r="F16" s="66">
        <f>D16/1</f>
        <v>326.21984000000003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110">
        <f t="shared" si="7"/>
        <v>0</v>
      </c>
      <c r="R16" s="109">
        <f t="shared" si="8"/>
        <v>326.21984000000003</v>
      </c>
      <c r="S16" s="34">
        <f t="shared" si="4"/>
        <v>326.21984000000003</v>
      </c>
    </row>
    <row r="17" spans="1:19" ht="15.75" x14ac:dyDescent="0.25">
      <c r="A17" s="64"/>
      <c r="B17" s="121" t="s">
        <v>25</v>
      </c>
      <c r="C17" s="65">
        <v>1</v>
      </c>
      <c r="D17" s="122">
        <f>ЗП!D12/1000</f>
        <v>326.21984000000003</v>
      </c>
      <c r="E17" s="66">
        <f t="shared" ref="E17:F19" si="9">C17/$Q$10</f>
        <v>0.2</v>
      </c>
      <c r="F17" s="66">
        <f t="shared" si="9"/>
        <v>65.24396800000001</v>
      </c>
      <c r="G17" s="66">
        <f t="shared" ref="G17:H19" si="10">C17/$Q$10</f>
        <v>0.2</v>
      </c>
      <c r="H17" s="66">
        <f t="shared" si="10"/>
        <v>65.24396800000001</v>
      </c>
      <c r="I17" s="66">
        <f t="shared" ref="I17:J19" si="11">C17/$Q$10</f>
        <v>0.2</v>
      </c>
      <c r="J17" s="66">
        <f t="shared" si="11"/>
        <v>65.24396800000001</v>
      </c>
      <c r="K17" s="66">
        <f t="shared" ref="K17:L19" si="12">C17/$Q$10</f>
        <v>0.2</v>
      </c>
      <c r="L17" s="66">
        <f t="shared" si="12"/>
        <v>65.24396800000001</v>
      </c>
      <c r="M17" s="66">
        <v>0.1</v>
      </c>
      <c r="N17" s="66">
        <f t="shared" si="5"/>
        <v>32.621984000000005</v>
      </c>
      <c r="O17" s="66">
        <v>0.1</v>
      </c>
      <c r="P17" s="66">
        <f t="shared" si="6"/>
        <v>32.621984000000005</v>
      </c>
      <c r="Q17" s="110">
        <f t="shared" si="7"/>
        <v>0</v>
      </c>
      <c r="R17" s="109">
        <f t="shared" si="8"/>
        <v>326.21984000000003</v>
      </c>
      <c r="S17" s="34">
        <f t="shared" si="4"/>
        <v>326.21984000000003</v>
      </c>
    </row>
    <row r="18" spans="1:19" ht="15.75" x14ac:dyDescent="0.25">
      <c r="A18" s="64"/>
      <c r="B18" s="121" t="s">
        <v>27</v>
      </c>
      <c r="C18" s="65">
        <v>0.5</v>
      </c>
      <c r="D18" s="122">
        <f>ЗП!D14/1000</f>
        <v>152.23539000000002</v>
      </c>
      <c r="E18" s="66">
        <f t="shared" si="9"/>
        <v>0.1</v>
      </c>
      <c r="F18" s="66">
        <f t="shared" si="9"/>
        <v>30.447078000000005</v>
      </c>
      <c r="G18" s="66">
        <f t="shared" si="10"/>
        <v>0.1</v>
      </c>
      <c r="H18" s="66">
        <f t="shared" si="10"/>
        <v>30.447078000000005</v>
      </c>
      <c r="I18" s="66">
        <f t="shared" si="11"/>
        <v>0.1</v>
      </c>
      <c r="J18" s="66">
        <f t="shared" si="11"/>
        <v>30.447078000000005</v>
      </c>
      <c r="K18" s="66">
        <f t="shared" si="12"/>
        <v>0.1</v>
      </c>
      <c r="L18" s="66">
        <f t="shared" si="12"/>
        <v>30.447078000000005</v>
      </c>
      <c r="M18" s="66">
        <v>0.5</v>
      </c>
      <c r="N18" s="66">
        <f t="shared" si="5"/>
        <v>15.223539000000002</v>
      </c>
      <c r="O18" s="66">
        <v>0.5</v>
      </c>
      <c r="P18" s="66">
        <f t="shared" si="6"/>
        <v>15.223539000000002</v>
      </c>
      <c r="Q18" s="110">
        <f t="shared" si="7"/>
        <v>0</v>
      </c>
      <c r="R18" s="109">
        <f t="shared" si="8"/>
        <v>152.23539000000005</v>
      </c>
      <c r="S18" s="34">
        <f t="shared" si="4"/>
        <v>152.23539000000002</v>
      </c>
    </row>
    <row r="19" spans="1:19" ht="15.75" x14ac:dyDescent="0.25">
      <c r="A19" s="64"/>
      <c r="B19" s="121" t="s">
        <v>28</v>
      </c>
      <c r="C19" s="65">
        <v>7</v>
      </c>
      <c r="D19" s="122">
        <f>ЗП!D15/1000</f>
        <v>1720.5894800000001</v>
      </c>
      <c r="E19" s="66">
        <f t="shared" si="9"/>
        <v>1.4</v>
      </c>
      <c r="F19" s="66">
        <f t="shared" si="9"/>
        <v>344.11789600000003</v>
      </c>
      <c r="G19" s="66">
        <f t="shared" si="10"/>
        <v>1.4</v>
      </c>
      <c r="H19" s="66">
        <f t="shared" si="10"/>
        <v>344.11789600000003</v>
      </c>
      <c r="I19" s="66">
        <f t="shared" si="11"/>
        <v>1.4</v>
      </c>
      <c r="J19" s="66">
        <f t="shared" si="11"/>
        <v>344.11789600000003</v>
      </c>
      <c r="K19" s="66">
        <f t="shared" si="12"/>
        <v>1.4</v>
      </c>
      <c r="L19" s="66">
        <f t="shared" si="12"/>
        <v>344.11789600000003</v>
      </c>
      <c r="M19" s="66">
        <v>0.7</v>
      </c>
      <c r="N19" s="66">
        <f t="shared" si="5"/>
        <v>172.05894800000002</v>
      </c>
      <c r="O19" s="66">
        <v>0.7</v>
      </c>
      <c r="P19" s="66">
        <f t="shared" si="6"/>
        <v>172.05894800000002</v>
      </c>
      <c r="Q19" s="110">
        <f t="shared" si="7"/>
        <v>0</v>
      </c>
      <c r="R19" s="109">
        <f t="shared" si="8"/>
        <v>1720.5894800000001</v>
      </c>
      <c r="S19" s="34">
        <f t="shared" si="4"/>
        <v>1720.5894800000001</v>
      </c>
    </row>
    <row r="20" spans="1:19" ht="15.75" x14ac:dyDescent="0.25">
      <c r="A20" s="62" t="s">
        <v>184</v>
      </c>
      <c r="B20" s="119" t="s">
        <v>170</v>
      </c>
      <c r="C20" s="143">
        <f>SUM(C21:C23)</f>
        <v>4.5</v>
      </c>
      <c r="D20" s="143">
        <f t="shared" ref="D20:N20" si="13">SUM(D21:D23)</f>
        <v>1008.3262400000001</v>
      </c>
      <c r="E20" s="143">
        <f t="shared" si="13"/>
        <v>1.4</v>
      </c>
      <c r="F20" s="143">
        <f t="shared" si="13"/>
        <v>326.58534700000001</v>
      </c>
      <c r="G20" s="143">
        <f t="shared" si="13"/>
        <v>1.65</v>
      </c>
      <c r="H20" s="143">
        <f t="shared" si="13"/>
        <v>388.13948200000004</v>
      </c>
      <c r="I20" s="143">
        <f t="shared" si="13"/>
        <v>0.65</v>
      </c>
      <c r="J20" s="143">
        <f t="shared" si="13"/>
        <v>138.90322700000002</v>
      </c>
      <c r="K20" s="143">
        <f t="shared" si="13"/>
        <v>0.4</v>
      </c>
      <c r="L20" s="143">
        <f t="shared" si="13"/>
        <v>77.349092000000013</v>
      </c>
      <c r="M20" s="143">
        <f t="shared" si="13"/>
        <v>0.2</v>
      </c>
      <c r="N20" s="143">
        <f t="shared" si="13"/>
        <v>38.674546000000007</v>
      </c>
      <c r="O20" s="143">
        <f t="shared" ref="O20:P20" si="14">SUM(O21:O23)</f>
        <v>0.2</v>
      </c>
      <c r="P20" s="143">
        <f t="shared" si="14"/>
        <v>38.674546000000007</v>
      </c>
      <c r="Q20" s="110"/>
      <c r="R20" s="109"/>
      <c r="S20" s="34"/>
    </row>
    <row r="21" spans="1:19" ht="15.75" x14ac:dyDescent="0.25">
      <c r="A21" s="64"/>
      <c r="B21" s="130" t="s">
        <v>30</v>
      </c>
      <c r="C21" s="70">
        <v>2</v>
      </c>
      <c r="D21" s="134">
        <f>ЗП!D17/1000</f>
        <v>386.74546000000004</v>
      </c>
      <c r="E21" s="66">
        <f>C21/$Q$10</f>
        <v>0.4</v>
      </c>
      <c r="F21" s="71">
        <f>D21/$Q$10</f>
        <v>77.349092000000013</v>
      </c>
      <c r="G21" s="66">
        <f>C21/$Q$10</f>
        <v>0.4</v>
      </c>
      <c r="H21" s="71">
        <f>D21/$Q$10</f>
        <v>77.349092000000013</v>
      </c>
      <c r="I21" s="66">
        <f>C21/$Q$10</f>
        <v>0.4</v>
      </c>
      <c r="J21" s="71">
        <f>D21/$Q$10</f>
        <v>77.349092000000013</v>
      </c>
      <c r="K21" s="66">
        <f>C21/$Q$10</f>
        <v>0.4</v>
      </c>
      <c r="L21" s="71">
        <f>D21/$Q$10</f>
        <v>77.349092000000013</v>
      </c>
      <c r="M21" s="66">
        <v>0.2</v>
      </c>
      <c r="N21" s="71">
        <f>D21/$Q$10/2</f>
        <v>38.674546000000007</v>
      </c>
      <c r="O21" s="66">
        <v>0.2</v>
      </c>
      <c r="P21" s="71">
        <f>D21/$Q$10/2</f>
        <v>38.674546000000007</v>
      </c>
      <c r="Q21" s="110">
        <f t="shared" ref="Q21" si="15">R21-S21</f>
        <v>0</v>
      </c>
      <c r="R21" s="109">
        <f>N21+L21+J21+H21+F21+P21</f>
        <v>386.74546000000015</v>
      </c>
      <c r="S21" s="34">
        <f>D21</f>
        <v>386.74546000000004</v>
      </c>
    </row>
    <row r="22" spans="1:19" ht="15.75" x14ac:dyDescent="0.25">
      <c r="A22" s="64"/>
      <c r="B22" s="130" t="s">
        <v>32</v>
      </c>
      <c r="C22" s="65">
        <v>2</v>
      </c>
      <c r="D22" s="134">
        <f>ЗП!D19/1000</f>
        <v>498.47251</v>
      </c>
      <c r="E22" s="66">
        <v>1</v>
      </c>
      <c r="F22" s="71">
        <f>D22/2</f>
        <v>249.236255</v>
      </c>
      <c r="G22" s="66">
        <f>C22/2</f>
        <v>1</v>
      </c>
      <c r="H22" s="71">
        <f>D22/2</f>
        <v>249.236255</v>
      </c>
      <c r="I22" s="66">
        <v>0</v>
      </c>
      <c r="J22" s="71">
        <v>0</v>
      </c>
      <c r="K22" s="66">
        <v>0</v>
      </c>
      <c r="L22" s="71">
        <v>0</v>
      </c>
      <c r="M22" s="66">
        <v>0</v>
      </c>
      <c r="N22" s="71">
        <v>0</v>
      </c>
      <c r="O22" s="66">
        <v>0</v>
      </c>
      <c r="P22" s="71">
        <v>0</v>
      </c>
      <c r="Q22" s="110">
        <f t="shared" ref="Q22:Q23" si="16">R22-S22</f>
        <v>0</v>
      </c>
      <c r="R22" s="109">
        <f t="shared" ref="R22:R23" si="17">N22+L22+J22+H22+F22+P22</f>
        <v>498.47251</v>
      </c>
      <c r="S22" s="34">
        <f>D22</f>
        <v>498.47251</v>
      </c>
    </row>
    <row r="23" spans="1:19" ht="15.75" x14ac:dyDescent="0.25">
      <c r="A23" s="64"/>
      <c r="B23" s="130" t="s">
        <v>33</v>
      </c>
      <c r="C23" s="65">
        <v>0.5</v>
      </c>
      <c r="D23" s="134">
        <f>ЗП!D20/1000</f>
        <v>123.10827</v>
      </c>
      <c r="E23" s="66">
        <v>0</v>
      </c>
      <c r="F23" s="71">
        <v>0</v>
      </c>
      <c r="G23" s="68">
        <f>C23/2</f>
        <v>0.25</v>
      </c>
      <c r="H23" s="71">
        <f>D23/2</f>
        <v>61.554135000000002</v>
      </c>
      <c r="I23" s="68">
        <v>0.25</v>
      </c>
      <c r="J23" s="71">
        <f>D23/2</f>
        <v>61.554135000000002</v>
      </c>
      <c r="K23" s="66">
        <v>0</v>
      </c>
      <c r="L23" s="71">
        <v>0</v>
      </c>
      <c r="M23" s="68">
        <v>0</v>
      </c>
      <c r="N23" s="71">
        <v>0</v>
      </c>
      <c r="O23" s="68">
        <v>0</v>
      </c>
      <c r="P23" s="71">
        <v>0</v>
      </c>
      <c r="Q23" s="110">
        <f t="shared" si="16"/>
        <v>0</v>
      </c>
      <c r="R23" s="109">
        <f t="shared" si="17"/>
        <v>123.10827</v>
      </c>
      <c r="S23" s="34">
        <f>D23</f>
        <v>123.10827</v>
      </c>
    </row>
    <row r="24" spans="1:19" ht="31.5" x14ac:dyDescent="0.25">
      <c r="A24" s="123"/>
      <c r="B24" s="124" t="s">
        <v>67</v>
      </c>
      <c r="C24" s="125" t="s">
        <v>69</v>
      </c>
      <c r="D24" s="117">
        <f>D12</f>
        <v>4012.0460200000007</v>
      </c>
      <c r="E24" s="117">
        <f t="shared" ref="E24:N24" si="18">E12</f>
        <v>4.4000000000000004</v>
      </c>
      <c r="F24" s="117">
        <f t="shared" si="18"/>
        <v>1188.305175</v>
      </c>
      <c r="G24" s="117">
        <f t="shared" si="18"/>
        <v>3.65</v>
      </c>
      <c r="H24" s="117">
        <f t="shared" si="18"/>
        <v>923.63947000000007</v>
      </c>
      <c r="I24" s="117">
        <f t="shared" si="18"/>
        <v>2.65</v>
      </c>
      <c r="J24" s="117">
        <f t="shared" si="18"/>
        <v>674.40321500000005</v>
      </c>
      <c r="K24" s="117">
        <f t="shared" si="18"/>
        <v>2.4</v>
      </c>
      <c r="L24" s="117">
        <f t="shared" si="18"/>
        <v>612.84908000000007</v>
      </c>
      <c r="M24" s="117">
        <f t="shared" si="18"/>
        <v>2.1</v>
      </c>
      <c r="N24" s="117">
        <f t="shared" si="18"/>
        <v>306.42454000000004</v>
      </c>
      <c r="O24" s="117">
        <f t="shared" ref="O24:P24" si="19">O12</f>
        <v>2.1</v>
      </c>
      <c r="P24" s="117">
        <f t="shared" si="19"/>
        <v>306.42454000000004</v>
      </c>
      <c r="Q24" s="110"/>
      <c r="R24" s="109"/>
      <c r="S24" s="34"/>
    </row>
    <row r="25" spans="1:19" ht="47.25" x14ac:dyDescent="0.25">
      <c r="A25" s="123"/>
      <c r="B25" s="124" t="s">
        <v>68</v>
      </c>
      <c r="C25" s="125" t="s">
        <v>69</v>
      </c>
      <c r="D25" s="117">
        <f>D24*29.971%</f>
        <v>1202.4503126542002</v>
      </c>
      <c r="E25" s="125" t="s">
        <v>69</v>
      </c>
      <c r="F25" s="117">
        <f>F24*29.971%</f>
        <v>356.14694399924997</v>
      </c>
      <c r="G25" s="125" t="s">
        <v>69</v>
      </c>
      <c r="H25" s="117">
        <f>H24*29.971%</f>
        <v>276.82398555370003</v>
      </c>
      <c r="I25" s="125" t="s">
        <v>69</v>
      </c>
      <c r="J25" s="117">
        <f>J24*29.971%</f>
        <v>202.12538756764999</v>
      </c>
      <c r="K25" s="125" t="s">
        <v>69</v>
      </c>
      <c r="L25" s="117">
        <f>L24*29.971%</f>
        <v>183.67699776680001</v>
      </c>
      <c r="M25" s="125" t="s">
        <v>69</v>
      </c>
      <c r="N25" s="117">
        <f>N24*29.971%</f>
        <v>91.838498883400007</v>
      </c>
      <c r="O25" s="125" t="s">
        <v>69</v>
      </c>
      <c r="P25" s="117">
        <f>P24*29.971%</f>
        <v>91.838498883400007</v>
      </c>
      <c r="Q25" s="110"/>
      <c r="R25" s="109"/>
      <c r="S25" s="34"/>
    </row>
    <row r="26" spans="1:19" ht="31.5" x14ac:dyDescent="0.25">
      <c r="A26" s="123"/>
      <c r="B26" s="124" t="s">
        <v>70</v>
      </c>
      <c r="C26" s="125" t="s">
        <v>69</v>
      </c>
      <c r="D26" s="117">
        <f>D24+D25</f>
        <v>5214.4963326542011</v>
      </c>
      <c r="E26" s="125" t="s">
        <v>69</v>
      </c>
      <c r="F26" s="117">
        <f>F24+F25</f>
        <v>1544.4521189992499</v>
      </c>
      <c r="G26" s="125" t="s">
        <v>69</v>
      </c>
      <c r="H26" s="117">
        <f>H24+H25</f>
        <v>1200.4634555537</v>
      </c>
      <c r="I26" s="125" t="s">
        <v>69</v>
      </c>
      <c r="J26" s="117">
        <f>J24+J25</f>
        <v>876.52860256765007</v>
      </c>
      <c r="K26" s="125" t="s">
        <v>69</v>
      </c>
      <c r="L26" s="117">
        <f>L24+L25</f>
        <v>796.52607776680009</v>
      </c>
      <c r="M26" s="125" t="s">
        <v>69</v>
      </c>
      <c r="N26" s="118">
        <f>N24+N25</f>
        <v>398.26303888340004</v>
      </c>
      <c r="O26" s="125" t="s">
        <v>69</v>
      </c>
      <c r="P26" s="118">
        <f>P24+P25</f>
        <v>398.26303888340004</v>
      </c>
      <c r="Q26" s="110"/>
      <c r="R26" s="109"/>
      <c r="S26" s="34"/>
    </row>
    <row r="27" spans="1:19" s="53" customFormat="1" ht="63" x14ac:dyDescent="0.25">
      <c r="A27" s="115">
        <v>2</v>
      </c>
      <c r="B27" s="126" t="s">
        <v>71</v>
      </c>
      <c r="C27" s="127">
        <f>C28+C36+C33</f>
        <v>26.75</v>
      </c>
      <c r="D27" s="127">
        <f t="shared" ref="D27:N27" si="20">D28+D36+D33</f>
        <v>6672.15398</v>
      </c>
      <c r="E27" s="127">
        <f t="shared" si="20"/>
        <v>5.35</v>
      </c>
      <c r="F27" s="127">
        <f t="shared" si="20"/>
        <v>1334.4307959999999</v>
      </c>
      <c r="G27" s="127">
        <f t="shared" si="20"/>
        <v>5.35</v>
      </c>
      <c r="H27" s="127">
        <f t="shared" si="20"/>
        <v>1334.4307959999999</v>
      </c>
      <c r="I27" s="127">
        <f t="shared" si="20"/>
        <v>5.35</v>
      </c>
      <c r="J27" s="127">
        <f t="shared" si="20"/>
        <v>1334.4307959999999</v>
      </c>
      <c r="K27" s="127">
        <f t="shared" si="20"/>
        <v>5.35</v>
      </c>
      <c r="L27" s="127">
        <f t="shared" si="20"/>
        <v>1334.4307959999999</v>
      </c>
      <c r="M27" s="127">
        <f t="shared" si="20"/>
        <v>2.7749999999999999</v>
      </c>
      <c r="N27" s="127">
        <f t="shared" si="20"/>
        <v>667.21539799999994</v>
      </c>
      <c r="O27" s="127">
        <f t="shared" ref="O27:P27" si="21">O28+O36+O33</f>
        <v>2.6949999999999998</v>
      </c>
      <c r="P27" s="127">
        <f t="shared" si="21"/>
        <v>667.21539799999994</v>
      </c>
      <c r="Q27" s="110"/>
      <c r="R27" s="109"/>
      <c r="S27" s="34"/>
    </row>
    <row r="28" spans="1:19" ht="15.75" x14ac:dyDescent="0.25">
      <c r="A28" s="128" t="s">
        <v>72</v>
      </c>
      <c r="B28" s="116" t="s">
        <v>73</v>
      </c>
      <c r="C28" s="129">
        <f>SUM(C29:C32)</f>
        <v>4</v>
      </c>
      <c r="D28" s="117">
        <f>SUM(D29:D32)</f>
        <v>2163.7484300000001</v>
      </c>
      <c r="E28" s="117">
        <f t="shared" ref="E28:J28" si="22">SUM(E29:E32)</f>
        <v>0.8</v>
      </c>
      <c r="F28" s="117">
        <f t="shared" si="22"/>
        <v>432.749686</v>
      </c>
      <c r="G28" s="117">
        <f t="shared" si="22"/>
        <v>0.8</v>
      </c>
      <c r="H28" s="117">
        <f t="shared" si="22"/>
        <v>432.749686</v>
      </c>
      <c r="I28" s="117">
        <f t="shared" si="22"/>
        <v>0.8</v>
      </c>
      <c r="J28" s="117">
        <f t="shared" si="22"/>
        <v>432.749686</v>
      </c>
      <c r="K28" s="117">
        <f t="shared" ref="K28" si="23">SUM(K29:K32)</f>
        <v>0.8</v>
      </c>
      <c r="L28" s="117">
        <f t="shared" ref="L28" si="24">SUM(L29:L32)</f>
        <v>432.749686</v>
      </c>
      <c r="M28" s="117">
        <f t="shared" ref="M28:O28" si="25">SUM(M29:M32)</f>
        <v>0.4</v>
      </c>
      <c r="N28" s="118">
        <f t="shared" ref="N28:P28" si="26">SUM(N29:N32)</f>
        <v>216.374843</v>
      </c>
      <c r="O28" s="117">
        <f t="shared" si="25"/>
        <v>0.4</v>
      </c>
      <c r="P28" s="118">
        <f t="shared" si="26"/>
        <v>216.374843</v>
      </c>
      <c r="Q28" s="110"/>
      <c r="R28" s="109"/>
      <c r="S28" s="34"/>
    </row>
    <row r="29" spans="1:19" ht="15.75" x14ac:dyDescent="0.25">
      <c r="A29" s="64"/>
      <c r="B29" s="130" t="s">
        <v>18</v>
      </c>
      <c r="C29" s="131">
        <v>1</v>
      </c>
      <c r="D29" s="134">
        <f>ЗП!D3/1000</f>
        <v>676.34010000000001</v>
      </c>
      <c r="E29" s="132">
        <f t="shared" ref="E29:F32" si="27">C29/$Q$10</f>
        <v>0.2</v>
      </c>
      <c r="F29" s="133">
        <f t="shared" si="27"/>
        <v>135.26802000000001</v>
      </c>
      <c r="G29" s="132">
        <f t="shared" ref="G29:H32" si="28">C29/$Q$10</f>
        <v>0.2</v>
      </c>
      <c r="H29" s="133">
        <f t="shared" si="28"/>
        <v>135.26802000000001</v>
      </c>
      <c r="I29" s="132">
        <f t="shared" ref="I29:J32" si="29">C29/$Q$10</f>
        <v>0.2</v>
      </c>
      <c r="J29" s="133">
        <f t="shared" si="29"/>
        <v>135.26802000000001</v>
      </c>
      <c r="K29" s="132">
        <f t="shared" ref="K29:L32" si="30">C29/$Q$10</f>
        <v>0.2</v>
      </c>
      <c r="L29" s="133">
        <f t="shared" si="30"/>
        <v>135.26802000000001</v>
      </c>
      <c r="M29" s="132">
        <v>0.1</v>
      </c>
      <c r="N29" s="133">
        <f>D29/$Q$10/2</f>
        <v>67.634010000000004</v>
      </c>
      <c r="O29" s="132">
        <v>0.1</v>
      </c>
      <c r="P29" s="133">
        <f>D29/$Q$10/2</f>
        <v>67.634010000000004</v>
      </c>
      <c r="Q29" s="110">
        <f t="shared" si="7"/>
        <v>0</v>
      </c>
      <c r="R29" s="109">
        <f t="shared" ref="R29:R32" si="31">N29+L29+J29+H29+F29+P29</f>
        <v>676.34010000000001</v>
      </c>
      <c r="S29" s="34">
        <f>D29</f>
        <v>676.34010000000001</v>
      </c>
    </row>
    <row r="30" spans="1:19" ht="45" x14ac:dyDescent="0.25">
      <c r="A30" s="64"/>
      <c r="B30" s="130" t="s">
        <v>19</v>
      </c>
      <c r="C30" s="132">
        <v>1</v>
      </c>
      <c r="D30" s="134">
        <f>ЗП!D4/1000</f>
        <v>463.01080999999999</v>
      </c>
      <c r="E30" s="132">
        <f t="shared" si="27"/>
        <v>0.2</v>
      </c>
      <c r="F30" s="133">
        <f t="shared" si="27"/>
        <v>92.602161999999993</v>
      </c>
      <c r="G30" s="132">
        <f t="shared" si="28"/>
        <v>0.2</v>
      </c>
      <c r="H30" s="133">
        <f t="shared" si="28"/>
        <v>92.602161999999993</v>
      </c>
      <c r="I30" s="132">
        <f t="shared" si="29"/>
        <v>0.2</v>
      </c>
      <c r="J30" s="133">
        <f t="shared" si="29"/>
        <v>92.602161999999993</v>
      </c>
      <c r="K30" s="132">
        <f t="shared" si="30"/>
        <v>0.2</v>
      </c>
      <c r="L30" s="133">
        <f t="shared" si="30"/>
        <v>92.602161999999993</v>
      </c>
      <c r="M30" s="132">
        <v>0.1</v>
      </c>
      <c r="N30" s="133">
        <f t="shared" ref="N30:N32" si="32">D30/$Q$10/2</f>
        <v>46.301080999999996</v>
      </c>
      <c r="O30" s="132">
        <v>0.1</v>
      </c>
      <c r="P30" s="133">
        <f t="shared" ref="P30:P32" si="33">D30/$Q$10/2</f>
        <v>46.301080999999996</v>
      </c>
      <c r="Q30" s="110">
        <f t="shared" si="7"/>
        <v>0</v>
      </c>
      <c r="R30" s="109">
        <f t="shared" si="31"/>
        <v>463.01080999999994</v>
      </c>
      <c r="S30" s="34">
        <f>D30</f>
        <v>463.01080999999999</v>
      </c>
    </row>
    <row r="31" spans="1:19" ht="15.75" x14ac:dyDescent="0.25">
      <c r="A31" s="64"/>
      <c r="B31" s="130" t="s">
        <v>20</v>
      </c>
      <c r="C31" s="132">
        <v>1</v>
      </c>
      <c r="D31" s="134">
        <f>ЗП!D5/1000</f>
        <v>608.70593999999994</v>
      </c>
      <c r="E31" s="132">
        <f t="shared" si="27"/>
        <v>0.2</v>
      </c>
      <c r="F31" s="133">
        <f t="shared" si="27"/>
        <v>121.74118799999999</v>
      </c>
      <c r="G31" s="132">
        <f t="shared" si="28"/>
        <v>0.2</v>
      </c>
      <c r="H31" s="133">
        <f t="shared" si="28"/>
        <v>121.74118799999999</v>
      </c>
      <c r="I31" s="132">
        <f t="shared" si="29"/>
        <v>0.2</v>
      </c>
      <c r="J31" s="133">
        <f t="shared" si="29"/>
        <v>121.74118799999999</v>
      </c>
      <c r="K31" s="132">
        <f t="shared" si="30"/>
        <v>0.2</v>
      </c>
      <c r="L31" s="133">
        <f t="shared" si="30"/>
        <v>121.74118799999999</v>
      </c>
      <c r="M31" s="132">
        <v>0.1</v>
      </c>
      <c r="N31" s="133">
        <f t="shared" si="32"/>
        <v>60.870593999999997</v>
      </c>
      <c r="O31" s="132">
        <v>0.1</v>
      </c>
      <c r="P31" s="133">
        <f t="shared" si="33"/>
        <v>60.870593999999997</v>
      </c>
      <c r="Q31" s="110">
        <f t="shared" si="7"/>
        <v>0</v>
      </c>
      <c r="R31" s="109">
        <f t="shared" si="31"/>
        <v>608.70593999999994</v>
      </c>
      <c r="S31" s="34">
        <f>D31</f>
        <v>608.70593999999994</v>
      </c>
    </row>
    <row r="32" spans="1:19" ht="30" x14ac:dyDescent="0.25">
      <c r="A32" s="64"/>
      <c r="B32" s="130" t="s">
        <v>21</v>
      </c>
      <c r="C32" s="132">
        <v>1</v>
      </c>
      <c r="D32" s="134">
        <f>ЗП!D6/1000</f>
        <v>415.69158000000004</v>
      </c>
      <c r="E32" s="132">
        <f t="shared" si="27"/>
        <v>0.2</v>
      </c>
      <c r="F32" s="133">
        <f t="shared" si="27"/>
        <v>83.138316000000003</v>
      </c>
      <c r="G32" s="132">
        <f t="shared" si="28"/>
        <v>0.2</v>
      </c>
      <c r="H32" s="133">
        <f t="shared" si="28"/>
        <v>83.138316000000003</v>
      </c>
      <c r="I32" s="132">
        <f t="shared" si="29"/>
        <v>0.2</v>
      </c>
      <c r="J32" s="133">
        <f t="shared" si="29"/>
        <v>83.138316000000003</v>
      </c>
      <c r="K32" s="132">
        <f t="shared" si="30"/>
        <v>0.2</v>
      </c>
      <c r="L32" s="133">
        <f t="shared" si="30"/>
        <v>83.138316000000003</v>
      </c>
      <c r="M32" s="132">
        <v>0.1</v>
      </c>
      <c r="N32" s="133">
        <f t="shared" si="32"/>
        <v>41.569158000000002</v>
      </c>
      <c r="O32" s="132">
        <v>0.1</v>
      </c>
      <c r="P32" s="133">
        <f t="shared" si="33"/>
        <v>41.569158000000002</v>
      </c>
      <c r="Q32" s="110">
        <f t="shared" si="7"/>
        <v>0</v>
      </c>
      <c r="R32" s="109">
        <f t="shared" si="31"/>
        <v>415.69158000000004</v>
      </c>
      <c r="S32" s="34">
        <f>D32</f>
        <v>415.69158000000004</v>
      </c>
    </row>
    <row r="33" spans="1:19" s="63" customFormat="1" ht="15.75" x14ac:dyDescent="0.25">
      <c r="A33" s="115" t="s">
        <v>74</v>
      </c>
      <c r="B33" s="119" t="s">
        <v>66</v>
      </c>
      <c r="C33" s="117">
        <f>SUM(C34:C35)</f>
        <v>1</v>
      </c>
      <c r="D33" s="117">
        <f t="shared" ref="D33:N33" si="34">SUM(D34:D35)</f>
        <v>266.41169000000002</v>
      </c>
      <c r="E33" s="117">
        <f t="shared" si="34"/>
        <v>0.2</v>
      </c>
      <c r="F33" s="117">
        <f t="shared" si="34"/>
        <v>53.282337999999996</v>
      </c>
      <c r="G33" s="117">
        <f t="shared" si="34"/>
        <v>0.2</v>
      </c>
      <c r="H33" s="117">
        <f t="shared" si="34"/>
        <v>53.282337999999996</v>
      </c>
      <c r="I33" s="117">
        <f t="shared" si="34"/>
        <v>0.2</v>
      </c>
      <c r="J33" s="117">
        <f t="shared" si="34"/>
        <v>53.282337999999996</v>
      </c>
      <c r="K33" s="117">
        <f t="shared" si="34"/>
        <v>0.2</v>
      </c>
      <c r="L33" s="117">
        <f t="shared" si="34"/>
        <v>53.282337999999996</v>
      </c>
      <c r="M33" s="117">
        <f t="shared" si="34"/>
        <v>0.2</v>
      </c>
      <c r="N33" s="117">
        <f t="shared" si="34"/>
        <v>26.641168999999998</v>
      </c>
      <c r="O33" s="117">
        <f t="shared" ref="O33:P33" si="35">SUM(O34:O35)</f>
        <v>0.12000000000000001</v>
      </c>
      <c r="P33" s="117">
        <f t="shared" si="35"/>
        <v>26.641168999999998</v>
      </c>
    </row>
    <row r="34" spans="1:19" ht="15.75" x14ac:dyDescent="0.25">
      <c r="A34" s="64"/>
      <c r="B34" s="121" t="s">
        <v>24</v>
      </c>
      <c r="C34" s="65">
        <v>0.5</v>
      </c>
      <c r="D34" s="122">
        <f>ЗП!D11/1000</f>
        <v>130.48733999999999</v>
      </c>
      <c r="E34" s="66">
        <f>C34/$Q$10</f>
        <v>0.1</v>
      </c>
      <c r="F34" s="66">
        <f>D34/$Q$10</f>
        <v>26.097467999999999</v>
      </c>
      <c r="G34" s="66">
        <f>C34/$Q$10</f>
        <v>0.1</v>
      </c>
      <c r="H34" s="66">
        <f>D34/$Q$10</f>
        <v>26.097467999999999</v>
      </c>
      <c r="I34" s="66">
        <f>C34/$Q$10</f>
        <v>0.1</v>
      </c>
      <c r="J34" s="66">
        <f>D34/$Q$10</f>
        <v>26.097467999999999</v>
      </c>
      <c r="K34" s="66">
        <f>C34/$Q$10</f>
        <v>0.1</v>
      </c>
      <c r="L34" s="66">
        <f>D34/$Q$10</f>
        <v>26.097467999999999</v>
      </c>
      <c r="M34" s="66">
        <f>C34/$Q$10</f>
        <v>0.1</v>
      </c>
      <c r="N34" s="66">
        <f t="shared" ref="N34:N45" si="36">D34/$Q$10/2</f>
        <v>13.048734</v>
      </c>
      <c r="O34" s="66">
        <f>E34/$Q$10</f>
        <v>0.02</v>
      </c>
      <c r="P34" s="66">
        <f t="shared" ref="P34:P35" si="37">D34/$Q$10/2</f>
        <v>13.048734</v>
      </c>
      <c r="Q34" s="110">
        <f t="shared" ref="Q34:Q35" si="38">R34-S34</f>
        <v>0</v>
      </c>
      <c r="R34" s="109">
        <f t="shared" ref="R34:R35" si="39">N34+L34+J34+H34+F34+P34</f>
        <v>130.48733999999999</v>
      </c>
      <c r="S34" s="34">
        <f>D34</f>
        <v>130.48733999999999</v>
      </c>
    </row>
    <row r="35" spans="1:19" ht="15.75" x14ac:dyDescent="0.25">
      <c r="A35" s="64"/>
      <c r="B35" s="121" t="s">
        <v>26</v>
      </c>
      <c r="C35" s="65">
        <v>0.5</v>
      </c>
      <c r="D35" s="122">
        <f>ЗП!D13/1000</f>
        <v>135.92435</v>
      </c>
      <c r="E35" s="66">
        <v>0.1</v>
      </c>
      <c r="F35" s="66">
        <f>D35/5</f>
        <v>27.18487</v>
      </c>
      <c r="G35" s="66">
        <v>0.1</v>
      </c>
      <c r="H35" s="66">
        <f>D35/5</f>
        <v>27.18487</v>
      </c>
      <c r="I35" s="66">
        <v>0.1</v>
      </c>
      <c r="J35" s="66">
        <f>D35/5</f>
        <v>27.18487</v>
      </c>
      <c r="K35" s="66">
        <v>0.1</v>
      </c>
      <c r="L35" s="66">
        <f>D35/5</f>
        <v>27.18487</v>
      </c>
      <c r="M35" s="66">
        <v>0.1</v>
      </c>
      <c r="N35" s="66">
        <f t="shared" si="36"/>
        <v>13.592435</v>
      </c>
      <c r="O35" s="66">
        <v>0.1</v>
      </c>
      <c r="P35" s="66">
        <f t="shared" si="37"/>
        <v>13.592435</v>
      </c>
      <c r="Q35" s="110">
        <f t="shared" si="38"/>
        <v>0</v>
      </c>
      <c r="R35" s="109">
        <f t="shared" si="39"/>
        <v>135.92435</v>
      </c>
      <c r="S35" s="34">
        <f>D35</f>
        <v>135.92435</v>
      </c>
    </row>
    <row r="36" spans="1:19" ht="15.75" x14ac:dyDescent="0.25">
      <c r="A36" s="62" t="s">
        <v>188</v>
      </c>
      <c r="B36" s="119" t="s">
        <v>170</v>
      </c>
      <c r="C36" s="143">
        <f t="shared" ref="C36:N36" si="40">SUM(C37:C45)</f>
        <v>21.75</v>
      </c>
      <c r="D36" s="117">
        <f t="shared" si="40"/>
        <v>4241.9938599999996</v>
      </c>
      <c r="E36" s="117">
        <f t="shared" si="40"/>
        <v>4.3499999999999996</v>
      </c>
      <c r="F36" s="117">
        <f t="shared" si="40"/>
        <v>848.39877199999989</v>
      </c>
      <c r="G36" s="117">
        <f t="shared" si="40"/>
        <v>4.3499999999999996</v>
      </c>
      <c r="H36" s="117">
        <f t="shared" si="40"/>
        <v>848.39877199999989</v>
      </c>
      <c r="I36" s="117">
        <f t="shared" si="40"/>
        <v>4.3499999999999996</v>
      </c>
      <c r="J36" s="117">
        <f t="shared" si="40"/>
        <v>848.39877199999989</v>
      </c>
      <c r="K36" s="117">
        <f t="shared" si="40"/>
        <v>4.3499999999999996</v>
      </c>
      <c r="L36" s="117">
        <f t="shared" si="40"/>
        <v>848.39877199999989</v>
      </c>
      <c r="M36" s="117">
        <f t="shared" si="40"/>
        <v>2.1749999999999998</v>
      </c>
      <c r="N36" s="118">
        <f t="shared" si="40"/>
        <v>424.19938599999995</v>
      </c>
      <c r="O36" s="117">
        <f t="shared" ref="O36:P36" si="41">SUM(O37:O45)</f>
        <v>2.1749999999999998</v>
      </c>
      <c r="P36" s="118">
        <f t="shared" si="41"/>
        <v>424.19938599999995</v>
      </c>
      <c r="Q36" s="110"/>
      <c r="R36" s="109"/>
      <c r="S36" s="34"/>
    </row>
    <row r="37" spans="1:19" ht="30" x14ac:dyDescent="0.25">
      <c r="A37" s="64"/>
      <c r="B37" s="130" t="s">
        <v>31</v>
      </c>
      <c r="C37" s="65">
        <v>1</v>
      </c>
      <c r="D37" s="134">
        <f>ЗП!D18/1000</f>
        <v>171.88576</v>
      </c>
      <c r="E37" s="66">
        <f t="shared" ref="E37:E44" si="42">C37/$Q$10</f>
        <v>0.2</v>
      </c>
      <c r="F37" s="71">
        <f t="shared" ref="F37:F45" si="43">D37/$Q$10</f>
        <v>34.377152000000002</v>
      </c>
      <c r="G37" s="66">
        <f t="shared" ref="G37:G44" si="44">C37/$Q$10</f>
        <v>0.2</v>
      </c>
      <c r="H37" s="71">
        <f t="shared" ref="H37:H45" si="45">D37/$Q$10</f>
        <v>34.377152000000002</v>
      </c>
      <c r="I37" s="66">
        <f t="shared" ref="I37:I44" si="46">C37/$Q$10</f>
        <v>0.2</v>
      </c>
      <c r="J37" s="71">
        <f t="shared" ref="J37:J45" si="47">D37/$Q$10</f>
        <v>34.377152000000002</v>
      </c>
      <c r="K37" s="66">
        <f t="shared" ref="K37:K44" si="48">C37/$Q$10</f>
        <v>0.2</v>
      </c>
      <c r="L37" s="71">
        <f t="shared" ref="L37:L45" si="49">D37/$Q$10</f>
        <v>34.377152000000002</v>
      </c>
      <c r="M37" s="66">
        <v>0.1</v>
      </c>
      <c r="N37" s="66">
        <f t="shared" si="36"/>
        <v>17.188576000000001</v>
      </c>
      <c r="O37" s="66">
        <v>0.1</v>
      </c>
      <c r="P37" s="66">
        <f t="shared" ref="P37:P45" si="50">D37/$Q$10/2</f>
        <v>17.188576000000001</v>
      </c>
      <c r="Q37" s="110">
        <f t="shared" si="7"/>
        <v>0</v>
      </c>
      <c r="R37" s="109">
        <f t="shared" ref="R37:R45" si="51">N37+L37+J37+H37+F37+P37</f>
        <v>171.88576</v>
      </c>
      <c r="S37" s="34">
        <f t="shared" ref="S37:S45" si="52">D37</f>
        <v>171.88576</v>
      </c>
    </row>
    <row r="38" spans="1:19" ht="30" x14ac:dyDescent="0.25">
      <c r="A38" s="64"/>
      <c r="B38" s="130" t="s">
        <v>34</v>
      </c>
      <c r="C38" s="65">
        <v>4</v>
      </c>
      <c r="D38" s="134">
        <f>ЗП!D21/1000</f>
        <v>708.61845999999991</v>
      </c>
      <c r="E38" s="66">
        <v>0.8</v>
      </c>
      <c r="F38" s="71">
        <f>D38/5</f>
        <v>141.72369199999997</v>
      </c>
      <c r="G38" s="66">
        <v>0.8</v>
      </c>
      <c r="H38" s="71">
        <f t="shared" si="45"/>
        <v>141.72369199999997</v>
      </c>
      <c r="I38" s="66">
        <v>0.8</v>
      </c>
      <c r="J38" s="71">
        <f t="shared" si="47"/>
        <v>141.72369199999997</v>
      </c>
      <c r="K38" s="66">
        <v>0.8</v>
      </c>
      <c r="L38" s="71">
        <f t="shared" si="49"/>
        <v>141.72369199999997</v>
      </c>
      <c r="M38" s="66">
        <v>0.4</v>
      </c>
      <c r="N38" s="66">
        <f t="shared" si="36"/>
        <v>70.861845999999986</v>
      </c>
      <c r="O38" s="66">
        <v>0.4</v>
      </c>
      <c r="P38" s="66">
        <f t="shared" si="50"/>
        <v>70.861845999999986</v>
      </c>
      <c r="Q38" s="110">
        <f t="shared" si="7"/>
        <v>0</v>
      </c>
      <c r="R38" s="109">
        <f t="shared" si="51"/>
        <v>708.61845999999991</v>
      </c>
      <c r="S38" s="34">
        <f t="shared" si="52"/>
        <v>708.61845999999991</v>
      </c>
    </row>
    <row r="39" spans="1:19" ht="15.75" x14ac:dyDescent="0.25">
      <c r="A39" s="64"/>
      <c r="B39" s="130" t="s">
        <v>35</v>
      </c>
      <c r="C39" s="65">
        <v>1</v>
      </c>
      <c r="D39" s="134">
        <f>ЗП!D22/1000</f>
        <v>284.09732000000002</v>
      </c>
      <c r="E39" s="66">
        <f>C39/5</f>
        <v>0.2</v>
      </c>
      <c r="F39" s="71">
        <f t="shared" si="43"/>
        <v>56.819464000000004</v>
      </c>
      <c r="G39" s="66">
        <f t="shared" si="44"/>
        <v>0.2</v>
      </c>
      <c r="H39" s="71">
        <f t="shared" si="45"/>
        <v>56.819464000000004</v>
      </c>
      <c r="I39" s="66">
        <f t="shared" si="46"/>
        <v>0.2</v>
      </c>
      <c r="J39" s="71">
        <f t="shared" si="47"/>
        <v>56.819464000000004</v>
      </c>
      <c r="K39" s="66">
        <f t="shared" si="48"/>
        <v>0.2</v>
      </c>
      <c r="L39" s="71">
        <f t="shared" si="49"/>
        <v>56.819464000000004</v>
      </c>
      <c r="M39" s="66">
        <v>0.1</v>
      </c>
      <c r="N39" s="66">
        <f t="shared" si="36"/>
        <v>28.409732000000002</v>
      </c>
      <c r="O39" s="66">
        <v>0.1</v>
      </c>
      <c r="P39" s="66">
        <f t="shared" si="50"/>
        <v>28.409732000000002</v>
      </c>
      <c r="Q39" s="110">
        <f t="shared" si="7"/>
        <v>0</v>
      </c>
      <c r="R39" s="109">
        <f t="shared" si="51"/>
        <v>284.09732000000002</v>
      </c>
      <c r="S39" s="34">
        <f t="shared" si="52"/>
        <v>284.09732000000002</v>
      </c>
    </row>
    <row r="40" spans="1:19" ht="45" x14ac:dyDescent="0.25">
      <c r="A40" s="64"/>
      <c r="B40" s="130" t="s">
        <v>36</v>
      </c>
      <c r="C40" s="65">
        <v>1</v>
      </c>
      <c r="D40" s="134">
        <f>ЗП!D23/1000</f>
        <v>292.20819</v>
      </c>
      <c r="E40" s="66">
        <f t="shared" si="42"/>
        <v>0.2</v>
      </c>
      <c r="F40" s="71">
        <f t="shared" si="43"/>
        <v>58.441637999999998</v>
      </c>
      <c r="G40" s="66">
        <f t="shared" si="44"/>
        <v>0.2</v>
      </c>
      <c r="H40" s="71">
        <f t="shared" si="45"/>
        <v>58.441637999999998</v>
      </c>
      <c r="I40" s="66">
        <f t="shared" si="46"/>
        <v>0.2</v>
      </c>
      <c r="J40" s="71">
        <f t="shared" si="47"/>
        <v>58.441637999999998</v>
      </c>
      <c r="K40" s="66">
        <f t="shared" si="48"/>
        <v>0.2</v>
      </c>
      <c r="L40" s="71">
        <f t="shared" si="49"/>
        <v>58.441637999999998</v>
      </c>
      <c r="M40" s="66">
        <v>0.1</v>
      </c>
      <c r="N40" s="66">
        <f t="shared" si="36"/>
        <v>29.220818999999999</v>
      </c>
      <c r="O40" s="66">
        <v>0.1</v>
      </c>
      <c r="P40" s="66">
        <f t="shared" si="50"/>
        <v>29.220818999999999</v>
      </c>
      <c r="Q40" s="110">
        <f t="shared" si="7"/>
        <v>0</v>
      </c>
      <c r="R40" s="109">
        <f t="shared" si="51"/>
        <v>292.20819</v>
      </c>
      <c r="S40" s="34">
        <f t="shared" si="52"/>
        <v>292.20819</v>
      </c>
    </row>
    <row r="41" spans="1:19" ht="15.75" x14ac:dyDescent="0.25">
      <c r="A41" s="64"/>
      <c r="B41" s="130" t="s">
        <v>37</v>
      </c>
      <c r="C41" s="65">
        <v>1</v>
      </c>
      <c r="D41" s="134">
        <f>ЗП!D24/1000</f>
        <v>255.21558999999999</v>
      </c>
      <c r="E41" s="66">
        <f t="shared" si="42"/>
        <v>0.2</v>
      </c>
      <c r="F41" s="71">
        <f t="shared" si="43"/>
        <v>51.043118</v>
      </c>
      <c r="G41" s="66">
        <f t="shared" si="44"/>
        <v>0.2</v>
      </c>
      <c r="H41" s="71">
        <f t="shared" si="45"/>
        <v>51.043118</v>
      </c>
      <c r="I41" s="66">
        <f t="shared" si="46"/>
        <v>0.2</v>
      </c>
      <c r="J41" s="71">
        <f t="shared" si="47"/>
        <v>51.043118</v>
      </c>
      <c r="K41" s="66">
        <f t="shared" si="48"/>
        <v>0.2</v>
      </c>
      <c r="L41" s="71">
        <f t="shared" si="49"/>
        <v>51.043118</v>
      </c>
      <c r="M41" s="66">
        <v>0.1</v>
      </c>
      <c r="N41" s="66">
        <f t="shared" si="36"/>
        <v>25.521559</v>
      </c>
      <c r="O41" s="66">
        <v>0.1</v>
      </c>
      <c r="P41" s="66">
        <f t="shared" si="50"/>
        <v>25.521559</v>
      </c>
      <c r="Q41" s="110">
        <f t="shared" si="7"/>
        <v>0</v>
      </c>
      <c r="R41" s="109">
        <f t="shared" si="51"/>
        <v>255.21558999999999</v>
      </c>
      <c r="S41" s="34">
        <f t="shared" si="52"/>
        <v>255.21558999999999</v>
      </c>
    </row>
    <row r="42" spans="1:19" ht="15.75" x14ac:dyDescent="0.25">
      <c r="A42" s="69"/>
      <c r="B42" s="130" t="s">
        <v>38</v>
      </c>
      <c r="C42" s="65">
        <v>3</v>
      </c>
      <c r="D42" s="134">
        <f>ЗП!D25/1000</f>
        <v>673.53913999999997</v>
      </c>
      <c r="E42" s="66">
        <f>C42/5</f>
        <v>0.6</v>
      </c>
      <c r="F42" s="71">
        <f>D42/5</f>
        <v>134.70782800000001</v>
      </c>
      <c r="G42" s="66">
        <v>0.6</v>
      </c>
      <c r="H42" s="71">
        <f t="shared" si="45"/>
        <v>134.70782800000001</v>
      </c>
      <c r="I42" s="66">
        <v>0.6</v>
      </c>
      <c r="J42" s="71">
        <f t="shared" si="47"/>
        <v>134.70782800000001</v>
      </c>
      <c r="K42" s="66">
        <v>0.6</v>
      </c>
      <c r="L42" s="71">
        <f t="shared" si="49"/>
        <v>134.70782800000001</v>
      </c>
      <c r="M42" s="66">
        <v>0.3</v>
      </c>
      <c r="N42" s="66">
        <f t="shared" si="36"/>
        <v>67.353914000000003</v>
      </c>
      <c r="O42" s="66">
        <v>0.3</v>
      </c>
      <c r="P42" s="66">
        <f t="shared" si="50"/>
        <v>67.353914000000003</v>
      </c>
      <c r="Q42" s="110">
        <f t="shared" si="7"/>
        <v>0</v>
      </c>
      <c r="R42" s="109">
        <f t="shared" si="51"/>
        <v>673.53914000000009</v>
      </c>
      <c r="S42" s="34">
        <f t="shared" si="52"/>
        <v>673.53913999999997</v>
      </c>
    </row>
    <row r="43" spans="1:19" ht="15.75" x14ac:dyDescent="0.25">
      <c r="A43" s="69"/>
      <c r="B43" s="130" t="s">
        <v>39</v>
      </c>
      <c r="C43" s="65">
        <v>2</v>
      </c>
      <c r="D43" s="134">
        <f>ЗП!D26/1000</f>
        <v>336.76907</v>
      </c>
      <c r="E43" s="66">
        <f>C43/5</f>
        <v>0.4</v>
      </c>
      <c r="F43" s="71">
        <f>D43/5</f>
        <v>67.353814</v>
      </c>
      <c r="G43" s="66">
        <v>0.4</v>
      </c>
      <c r="H43" s="71">
        <f t="shared" si="45"/>
        <v>67.353814</v>
      </c>
      <c r="I43" s="66">
        <v>0.4</v>
      </c>
      <c r="J43" s="71">
        <f t="shared" si="47"/>
        <v>67.353814</v>
      </c>
      <c r="K43" s="66">
        <v>0.4</v>
      </c>
      <c r="L43" s="71">
        <f t="shared" si="49"/>
        <v>67.353814</v>
      </c>
      <c r="M43" s="66">
        <v>0.2</v>
      </c>
      <c r="N43" s="66">
        <f t="shared" si="36"/>
        <v>33.676907</v>
      </c>
      <c r="O43" s="66">
        <v>0.2</v>
      </c>
      <c r="P43" s="66">
        <f t="shared" si="50"/>
        <v>33.676907</v>
      </c>
      <c r="Q43" s="110">
        <f t="shared" si="7"/>
        <v>0</v>
      </c>
      <c r="R43" s="109">
        <f t="shared" si="51"/>
        <v>336.76907000000006</v>
      </c>
      <c r="S43" s="34">
        <f t="shared" si="52"/>
        <v>336.76907</v>
      </c>
    </row>
    <row r="44" spans="1:19" ht="15.75" x14ac:dyDescent="0.25">
      <c r="A44" s="69"/>
      <c r="B44" s="130" t="s">
        <v>40</v>
      </c>
      <c r="C44" s="65">
        <v>1</v>
      </c>
      <c r="D44" s="134">
        <f>ЗП!D27/1000</f>
        <v>223.45309</v>
      </c>
      <c r="E44" s="66">
        <f t="shared" si="42"/>
        <v>0.2</v>
      </c>
      <c r="F44" s="71">
        <f t="shared" si="43"/>
        <v>44.690618000000001</v>
      </c>
      <c r="G44" s="66">
        <f t="shared" si="44"/>
        <v>0.2</v>
      </c>
      <c r="H44" s="71">
        <f t="shared" si="45"/>
        <v>44.690618000000001</v>
      </c>
      <c r="I44" s="66">
        <f t="shared" si="46"/>
        <v>0.2</v>
      </c>
      <c r="J44" s="71">
        <f t="shared" si="47"/>
        <v>44.690618000000001</v>
      </c>
      <c r="K44" s="66">
        <f t="shared" si="48"/>
        <v>0.2</v>
      </c>
      <c r="L44" s="71">
        <f t="shared" si="49"/>
        <v>44.690618000000001</v>
      </c>
      <c r="M44" s="66">
        <v>0.1</v>
      </c>
      <c r="N44" s="66">
        <f t="shared" si="36"/>
        <v>22.345309</v>
      </c>
      <c r="O44" s="66">
        <v>0.1</v>
      </c>
      <c r="P44" s="66">
        <f t="shared" si="50"/>
        <v>22.345309</v>
      </c>
      <c r="Q44" s="110">
        <f t="shared" si="7"/>
        <v>0</v>
      </c>
      <c r="R44" s="109">
        <f t="shared" si="51"/>
        <v>223.45309000000003</v>
      </c>
      <c r="S44" s="34">
        <f t="shared" si="52"/>
        <v>223.45309</v>
      </c>
    </row>
    <row r="45" spans="1:19" ht="15.75" x14ac:dyDescent="0.25">
      <c r="A45" s="69"/>
      <c r="B45" s="130" t="s">
        <v>41</v>
      </c>
      <c r="C45" s="144">
        <v>7.75</v>
      </c>
      <c r="D45" s="134">
        <f>ЗП!D28/1000</f>
        <v>1296.20724</v>
      </c>
      <c r="E45" s="68">
        <f>C45/5</f>
        <v>1.55</v>
      </c>
      <c r="F45" s="71">
        <f t="shared" si="43"/>
        <v>259.24144799999999</v>
      </c>
      <c r="G45" s="68">
        <v>1.55</v>
      </c>
      <c r="H45" s="71">
        <f t="shared" si="45"/>
        <v>259.24144799999999</v>
      </c>
      <c r="I45" s="68">
        <v>1.55</v>
      </c>
      <c r="J45" s="71">
        <f t="shared" si="47"/>
        <v>259.24144799999999</v>
      </c>
      <c r="K45" s="68">
        <v>1.55</v>
      </c>
      <c r="L45" s="71">
        <f t="shared" si="49"/>
        <v>259.24144799999999</v>
      </c>
      <c r="M45" s="68">
        <v>0.77500000000000002</v>
      </c>
      <c r="N45" s="66">
        <f t="shared" si="36"/>
        <v>129.620724</v>
      </c>
      <c r="O45" s="68">
        <v>0.77500000000000002</v>
      </c>
      <c r="P45" s="66">
        <f t="shared" si="50"/>
        <v>129.620724</v>
      </c>
      <c r="Q45" s="110">
        <f t="shared" si="7"/>
        <v>0</v>
      </c>
      <c r="R45" s="109">
        <f t="shared" si="51"/>
        <v>1296.2072399999997</v>
      </c>
      <c r="S45" s="34">
        <f t="shared" si="52"/>
        <v>1296.20724</v>
      </c>
    </row>
    <row r="46" spans="1:19" ht="47.25" x14ac:dyDescent="0.25">
      <c r="A46" s="69"/>
      <c r="B46" s="124" t="s">
        <v>75</v>
      </c>
      <c r="C46" s="135" t="s">
        <v>69</v>
      </c>
      <c r="D46" s="117">
        <f>D28+D36+D33</f>
        <v>6672.15398</v>
      </c>
      <c r="E46" s="117" t="s">
        <v>69</v>
      </c>
      <c r="F46" s="117">
        <f>F28+F36+F33</f>
        <v>1334.4307959999999</v>
      </c>
      <c r="G46" s="117" t="s">
        <v>69</v>
      </c>
      <c r="H46" s="117">
        <f>H28+H36+H33</f>
        <v>1334.4307959999999</v>
      </c>
      <c r="I46" s="117" t="s">
        <v>69</v>
      </c>
      <c r="J46" s="117">
        <f>J28+J36+J33</f>
        <v>1334.4307959999999</v>
      </c>
      <c r="K46" s="117" t="s">
        <v>69</v>
      </c>
      <c r="L46" s="117">
        <f>L28+L36+L33</f>
        <v>1334.4307959999999</v>
      </c>
      <c r="M46" s="117" t="s">
        <v>69</v>
      </c>
      <c r="N46" s="117">
        <f>N28+N36+N33</f>
        <v>667.21539799999994</v>
      </c>
      <c r="O46" s="117" t="s">
        <v>69</v>
      </c>
      <c r="P46" s="117">
        <f>P28+P36+P33</f>
        <v>667.21539799999994</v>
      </c>
    </row>
    <row r="47" spans="1:19" ht="63" x14ac:dyDescent="0.25">
      <c r="A47" s="69"/>
      <c r="B47" s="124" t="s">
        <v>76</v>
      </c>
      <c r="C47" s="135" t="s">
        <v>69</v>
      </c>
      <c r="D47" s="117">
        <f>D46*29.97%</f>
        <v>1999.6445478059998</v>
      </c>
      <c r="E47" s="117" t="s">
        <v>69</v>
      </c>
      <c r="F47" s="117">
        <f>F46*29.97%</f>
        <v>399.92890956119993</v>
      </c>
      <c r="G47" s="117" t="s">
        <v>69</v>
      </c>
      <c r="H47" s="117">
        <f>H46*29.97%</f>
        <v>399.92890956119993</v>
      </c>
      <c r="I47" s="117" t="s">
        <v>69</v>
      </c>
      <c r="J47" s="117">
        <f>J46*29.97%</f>
        <v>399.92890956119993</v>
      </c>
      <c r="K47" s="117" t="s">
        <v>69</v>
      </c>
      <c r="L47" s="117">
        <f>L46*29.97%</f>
        <v>399.92890956119993</v>
      </c>
      <c r="M47" s="117" t="s">
        <v>69</v>
      </c>
      <c r="N47" s="117">
        <f>N46*29.97%</f>
        <v>199.96445478059997</v>
      </c>
      <c r="O47" s="117" t="s">
        <v>69</v>
      </c>
      <c r="P47" s="117">
        <f>P46*29.97%</f>
        <v>199.96445478059997</v>
      </c>
    </row>
    <row r="48" spans="1:19" ht="32.25" customHeight="1" x14ac:dyDescent="0.25">
      <c r="A48" s="107"/>
      <c r="B48" s="136" t="s">
        <v>70</v>
      </c>
      <c r="C48" s="137" t="s">
        <v>69</v>
      </c>
      <c r="D48" s="138">
        <f>D46+D47</f>
        <v>8671.7985278060005</v>
      </c>
      <c r="E48" s="138" t="s">
        <v>69</v>
      </c>
      <c r="F48" s="138">
        <f>F46+F47</f>
        <v>1734.3597055611999</v>
      </c>
      <c r="G48" s="138" t="s">
        <v>69</v>
      </c>
      <c r="H48" s="138">
        <f>H46+H47</f>
        <v>1734.3597055611999</v>
      </c>
      <c r="I48" s="138" t="s">
        <v>69</v>
      </c>
      <c r="J48" s="138">
        <f>J46+J47</f>
        <v>1734.3597055611999</v>
      </c>
      <c r="K48" s="138" t="s">
        <v>69</v>
      </c>
      <c r="L48" s="138">
        <f>L46+L47</f>
        <v>1734.3597055611999</v>
      </c>
      <c r="M48" s="138" t="s">
        <v>69</v>
      </c>
      <c r="N48" s="139">
        <f>N46+N47</f>
        <v>867.17985278059996</v>
      </c>
      <c r="O48" s="138" t="s">
        <v>69</v>
      </c>
      <c r="P48" s="139">
        <f>P46+P47</f>
        <v>867.17985278059996</v>
      </c>
    </row>
    <row r="49" spans="1:16" ht="16.5" thickBot="1" x14ac:dyDescent="0.3">
      <c r="A49" s="72"/>
      <c r="B49" s="140" t="s">
        <v>171</v>
      </c>
      <c r="C49" s="142">
        <f>C12+C27</f>
        <v>42.25</v>
      </c>
      <c r="D49" s="141">
        <f>D46+D12</f>
        <v>10684.2</v>
      </c>
      <c r="E49" s="146">
        <f>E12+E27</f>
        <v>9.75</v>
      </c>
      <c r="F49" s="141">
        <f>F46+F12</f>
        <v>2522.7359710000001</v>
      </c>
      <c r="G49" s="146">
        <f>G12+G27</f>
        <v>9</v>
      </c>
      <c r="H49" s="141">
        <f>H46+H12</f>
        <v>2258.0702659999997</v>
      </c>
      <c r="I49" s="146">
        <f>I12+I27</f>
        <v>8</v>
      </c>
      <c r="J49" s="141">
        <f>J46+J12</f>
        <v>2008.8340109999999</v>
      </c>
      <c r="K49" s="146">
        <f>K12+K27</f>
        <v>7.75</v>
      </c>
      <c r="L49" s="141">
        <f>L46+L12</f>
        <v>1947.2798760000001</v>
      </c>
      <c r="M49" s="146">
        <f>M12+M27</f>
        <v>4.875</v>
      </c>
      <c r="N49" s="141">
        <f>N46+N12</f>
        <v>973.63993800000003</v>
      </c>
      <c r="O49" s="146">
        <f>O12+O27</f>
        <v>4.7949999999999999</v>
      </c>
      <c r="P49" s="141">
        <f>P46+P12</f>
        <v>973.63993800000003</v>
      </c>
    </row>
    <row r="50" spans="1:16" ht="15.75" x14ac:dyDescent="0.25">
      <c r="A50" s="73"/>
      <c r="B50" s="73"/>
      <c r="C50" s="73"/>
      <c r="D50" s="147">
        <f>D25+D47</f>
        <v>3202.0948604601999</v>
      </c>
      <c r="E50" s="73"/>
      <c r="F50" s="147">
        <f>F25+F47</f>
        <v>756.0758535604499</v>
      </c>
      <c r="G50" s="73"/>
      <c r="H50" s="147">
        <f>H25+H47</f>
        <v>676.75289511489996</v>
      </c>
      <c r="J50" s="147">
        <f>J25+J47</f>
        <v>602.05429712884995</v>
      </c>
      <c r="L50" s="147">
        <f>L25+L47</f>
        <v>583.60590732799994</v>
      </c>
      <c r="N50" s="147">
        <f>N25+N47</f>
        <v>291.80295366399997</v>
      </c>
      <c r="P50" s="147">
        <f>P25+P47</f>
        <v>291.80295366399997</v>
      </c>
    </row>
    <row r="51" spans="1:16" ht="15.75" x14ac:dyDescent="0.25">
      <c r="A51" s="73"/>
      <c r="B51" s="73"/>
      <c r="C51" s="73"/>
      <c r="D51" s="147">
        <f>D49+D50</f>
        <v>13886.294860460201</v>
      </c>
      <c r="E51" s="73"/>
      <c r="F51" s="147">
        <f>F49+F50</f>
        <v>3278.8118245604501</v>
      </c>
      <c r="G51" s="73"/>
      <c r="H51" s="147">
        <f>H49+H50</f>
        <v>2934.8231611148994</v>
      </c>
      <c r="J51" s="147">
        <f>J49+J50</f>
        <v>2610.88830812885</v>
      </c>
      <c r="L51" s="147">
        <f>L49+L50</f>
        <v>2530.8857833279999</v>
      </c>
      <c r="N51" s="147">
        <f>N49+N50</f>
        <v>1265.4428916639999</v>
      </c>
      <c r="P51" s="147">
        <f>P49+P50</f>
        <v>1265.4428916639999</v>
      </c>
    </row>
    <row r="52" spans="1:16" ht="15.75" x14ac:dyDescent="0.25">
      <c r="A52" s="73"/>
      <c r="B52" s="73"/>
      <c r="C52" s="73"/>
      <c r="D52" s="74"/>
      <c r="E52" s="74"/>
      <c r="F52" s="73"/>
      <c r="G52" s="74"/>
      <c r="H52" s="73"/>
    </row>
    <row r="53" spans="1:16" ht="15.75" x14ac:dyDescent="0.25">
      <c r="A53" s="73"/>
      <c r="B53" s="73"/>
      <c r="C53" s="73"/>
      <c r="D53" s="74"/>
      <c r="E53" s="73"/>
      <c r="F53" s="73"/>
      <c r="G53" s="73"/>
      <c r="H53" s="73"/>
    </row>
    <row r="54" spans="1:16" ht="15.75" x14ac:dyDescent="0.25">
      <c r="A54" s="73"/>
      <c r="B54" s="73"/>
      <c r="C54" s="73"/>
      <c r="D54" s="74"/>
      <c r="E54" s="73"/>
      <c r="F54" s="73"/>
      <c r="G54" s="73"/>
      <c r="H54" s="73"/>
    </row>
    <row r="55" spans="1:16" ht="15.75" x14ac:dyDescent="0.25">
      <c r="A55" s="73"/>
      <c r="B55" s="73"/>
      <c r="C55" s="73"/>
      <c r="D55" s="74"/>
      <c r="E55" s="73"/>
      <c r="F55" s="73"/>
      <c r="G55" s="73"/>
      <c r="H55" s="73"/>
    </row>
    <row r="56" spans="1:16" x14ac:dyDescent="0.25">
      <c r="D56" s="67"/>
    </row>
  </sheetData>
  <mergeCells count="14">
    <mergeCell ref="O9:P9"/>
    <mergeCell ref="E7:P7"/>
    <mergeCell ref="I8:P8"/>
    <mergeCell ref="A6:N6"/>
    <mergeCell ref="A5:N5"/>
    <mergeCell ref="I9:J9"/>
    <mergeCell ref="K9:L9"/>
    <mergeCell ref="M9:N9"/>
    <mergeCell ref="E8:F9"/>
    <mergeCell ref="G8:H9"/>
    <mergeCell ref="A7:A10"/>
    <mergeCell ref="B7:B10"/>
    <mergeCell ref="C7:C10"/>
    <mergeCell ref="D7:D10"/>
  </mergeCells>
  <pageMargins left="0" right="0" top="0.35433070866141736" bottom="0" header="0" footer="0"/>
  <pageSetup paperSize="9" scale="57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88"/>
  <sheetViews>
    <sheetView view="pageBreakPreview" topLeftCell="A28" zoomScaleNormal="100" zoomScaleSheetLayoutView="100" workbookViewId="0">
      <selection activeCell="C73" sqref="C73"/>
    </sheetView>
  </sheetViews>
  <sheetFormatPr defaultRowHeight="15" x14ac:dyDescent="0.25"/>
  <cols>
    <col min="1" max="1" width="43.42578125" customWidth="1"/>
    <col min="2" max="2" width="12.42578125" customWidth="1"/>
    <col min="3" max="3" width="16.85546875" style="48" customWidth="1"/>
    <col min="4" max="4" width="18.5703125" customWidth="1"/>
    <col min="6" max="6" width="13.28515625" bestFit="1" customWidth="1"/>
  </cols>
  <sheetData>
    <row r="1" spans="1:8" s="56" customFormat="1" ht="11.25" customHeight="1" x14ac:dyDescent="0.2">
      <c r="C1" s="77"/>
      <c r="D1" s="57" t="s">
        <v>77</v>
      </c>
    </row>
    <row r="2" spans="1:8" s="56" customFormat="1" ht="11.25" customHeight="1" x14ac:dyDescent="0.2">
      <c r="A2" s="57"/>
      <c r="B2" s="236" t="s">
        <v>55</v>
      </c>
      <c r="C2" s="236"/>
      <c r="D2" s="236"/>
    </row>
    <row r="3" spans="1:8" s="56" customFormat="1" ht="11.25" customHeight="1" x14ac:dyDescent="0.2">
      <c r="A3" s="57"/>
      <c r="B3" s="236" t="s">
        <v>56</v>
      </c>
      <c r="C3" s="236"/>
      <c r="D3" s="236"/>
    </row>
    <row r="4" spans="1:8" s="56" customFormat="1" ht="11.25" customHeight="1" x14ac:dyDescent="0.2">
      <c r="A4" s="236" t="s">
        <v>57</v>
      </c>
      <c r="B4" s="236"/>
      <c r="C4" s="236"/>
      <c r="D4" s="236"/>
    </row>
    <row r="5" spans="1:8" ht="41.25" customHeight="1" x14ac:dyDescent="0.25">
      <c r="A5" s="237" t="s">
        <v>78</v>
      </c>
      <c r="B5" s="237"/>
      <c r="C5" s="237"/>
      <c r="D5" s="237"/>
      <c r="E5" s="78"/>
      <c r="F5" s="78"/>
      <c r="G5" s="78"/>
      <c r="H5" s="78"/>
    </row>
    <row r="6" spans="1:8" ht="15.75" thickBot="1" x14ac:dyDescent="0.3">
      <c r="A6" s="237" t="s">
        <v>185</v>
      </c>
      <c r="B6" s="237"/>
      <c r="C6" s="237"/>
      <c r="D6" s="237"/>
      <c r="E6" s="78"/>
      <c r="F6" s="78"/>
      <c r="G6" s="78"/>
      <c r="H6" s="78"/>
    </row>
    <row r="7" spans="1:8" s="83" customFormat="1" ht="63.75" thickTop="1" x14ac:dyDescent="0.2">
      <c r="A7" s="79" t="s">
        <v>79</v>
      </c>
      <c r="B7" s="80" t="s">
        <v>4</v>
      </c>
      <c r="C7" s="81" t="s">
        <v>80</v>
      </c>
      <c r="D7" s="82" t="s">
        <v>81</v>
      </c>
    </row>
    <row r="8" spans="1:8" s="83" customFormat="1" ht="11.25" x14ac:dyDescent="0.2">
      <c r="A8" s="84">
        <v>1</v>
      </c>
      <c r="B8" s="58">
        <v>2</v>
      </c>
      <c r="C8" s="85">
        <v>3</v>
      </c>
      <c r="D8" s="86">
        <v>4</v>
      </c>
    </row>
    <row r="9" spans="1:8" x14ac:dyDescent="0.25">
      <c r="A9" s="238" t="s">
        <v>82</v>
      </c>
      <c r="B9" s="239"/>
      <c r="C9" s="239"/>
      <c r="D9" s="240"/>
      <c r="E9" s="78"/>
      <c r="F9" s="78"/>
      <c r="G9" s="78"/>
      <c r="H9" s="78"/>
    </row>
    <row r="10" spans="1:8" x14ac:dyDescent="0.25">
      <c r="A10" s="238" t="s">
        <v>83</v>
      </c>
      <c r="B10" s="239"/>
      <c r="C10" s="239"/>
      <c r="D10" s="240"/>
      <c r="E10" s="78"/>
      <c r="F10" s="78"/>
      <c r="G10" s="78"/>
      <c r="H10" s="78"/>
    </row>
    <row r="11" spans="1:8" x14ac:dyDescent="0.25">
      <c r="A11" s="238" t="s">
        <v>84</v>
      </c>
      <c r="B11" s="239"/>
      <c r="C11" s="239"/>
      <c r="D11" s="240"/>
      <c r="E11" s="78"/>
      <c r="F11" s="78"/>
      <c r="G11" s="78"/>
      <c r="H11" s="78"/>
    </row>
    <row r="12" spans="1:8" x14ac:dyDescent="0.25">
      <c r="A12" s="197" t="s">
        <v>85</v>
      </c>
      <c r="B12" s="198">
        <v>211</v>
      </c>
      <c r="C12" s="196">
        <f>ГОРЛЕС!K5/1000</f>
        <v>4012.0460199999998</v>
      </c>
      <c r="D12" s="199" t="s">
        <v>69</v>
      </c>
      <c r="E12" s="78"/>
      <c r="F12" s="89"/>
      <c r="G12" s="78"/>
      <c r="H12" s="78"/>
    </row>
    <row r="13" spans="1:8" x14ac:dyDescent="0.25">
      <c r="A13" s="197" t="s">
        <v>86</v>
      </c>
      <c r="B13" s="198">
        <v>213</v>
      </c>
      <c r="C13" s="196">
        <f>ГОРЛЕС!K7/1000</f>
        <v>1202.4554521939997</v>
      </c>
      <c r="D13" s="199" t="s">
        <v>69</v>
      </c>
      <c r="E13" s="78"/>
      <c r="F13" s="89"/>
      <c r="G13" s="78"/>
      <c r="H13" s="78"/>
    </row>
    <row r="14" spans="1:8" x14ac:dyDescent="0.25">
      <c r="A14" s="233" t="s">
        <v>87</v>
      </c>
      <c r="B14" s="234"/>
      <c r="C14" s="234"/>
      <c r="D14" s="235"/>
      <c r="E14" s="78"/>
      <c r="F14" s="78"/>
      <c r="G14" s="78"/>
      <c r="H14" s="78"/>
    </row>
    <row r="15" spans="1:8" x14ac:dyDescent="0.25">
      <c r="A15" s="197" t="s">
        <v>88</v>
      </c>
      <c r="B15" s="198">
        <v>340</v>
      </c>
      <c r="C15" s="196">
        <f>(ГОРЛЕС!K20+ГОРЛЕС!K21+ГОРЛЕС!K22)/1000</f>
        <v>1224.7950000000001</v>
      </c>
      <c r="D15" s="199" t="s">
        <v>69</v>
      </c>
      <c r="E15" s="78"/>
      <c r="F15" s="78"/>
      <c r="G15" s="78"/>
      <c r="H15" s="78"/>
    </row>
    <row r="16" spans="1:8" x14ac:dyDescent="0.25">
      <c r="A16" s="233" t="s">
        <v>89</v>
      </c>
      <c r="B16" s="234"/>
      <c r="C16" s="234"/>
      <c r="D16" s="235"/>
      <c r="E16" s="78"/>
      <c r="F16" s="89">
        <f>C12+C13+C15+C18+C20</f>
        <v>8423.1154721940002</v>
      </c>
      <c r="G16" s="78"/>
      <c r="H16" s="78"/>
    </row>
    <row r="17" spans="1:8" x14ac:dyDescent="0.25">
      <c r="A17" s="197" t="s">
        <v>90</v>
      </c>
      <c r="B17" s="198">
        <v>212</v>
      </c>
      <c r="C17" s="200">
        <v>0</v>
      </c>
      <c r="D17" s="199" t="s">
        <v>69</v>
      </c>
      <c r="E17" s="78"/>
      <c r="F17" s="78"/>
      <c r="G17" s="78"/>
      <c r="H17" s="78"/>
    </row>
    <row r="18" spans="1:8" x14ac:dyDescent="0.25">
      <c r="A18" s="197" t="s">
        <v>91</v>
      </c>
      <c r="B18" s="198">
        <v>222</v>
      </c>
      <c r="C18" s="200">
        <f>ГОРЛЕС!K9/1000</f>
        <v>441</v>
      </c>
      <c r="D18" s="199" t="s">
        <v>69</v>
      </c>
      <c r="E18" s="78"/>
      <c r="F18" s="89"/>
      <c r="G18" s="78"/>
      <c r="H18" s="78"/>
    </row>
    <row r="19" spans="1:8" x14ac:dyDescent="0.25">
      <c r="A19" s="197" t="s">
        <v>175</v>
      </c>
      <c r="B19" s="198">
        <v>225</v>
      </c>
      <c r="C19" s="200">
        <f>ГОРЛЕС!K14/1000</f>
        <v>0</v>
      </c>
      <c r="D19" s="199"/>
      <c r="E19" s="78"/>
      <c r="F19" s="89"/>
      <c r="G19" s="78"/>
      <c r="H19" s="78"/>
    </row>
    <row r="20" spans="1:8" x14ac:dyDescent="0.25">
      <c r="A20" s="197" t="s">
        <v>92</v>
      </c>
      <c r="B20" s="198">
        <v>226</v>
      </c>
      <c r="C20" s="200">
        <f>(ГОРЛЕС!K17+ГОРЛЕС!K19)/1000</f>
        <v>1542.819</v>
      </c>
      <c r="D20" s="199"/>
      <c r="E20" s="78"/>
      <c r="F20" s="78"/>
      <c r="G20" s="78"/>
      <c r="H20" s="78"/>
    </row>
    <row r="21" spans="1:8" x14ac:dyDescent="0.25">
      <c r="A21" s="197" t="s">
        <v>93</v>
      </c>
      <c r="B21" s="198">
        <v>290</v>
      </c>
      <c r="C21" s="200">
        <v>0</v>
      </c>
      <c r="D21" s="199" t="s">
        <v>69</v>
      </c>
      <c r="E21" s="78"/>
      <c r="F21" s="78"/>
      <c r="G21" s="78"/>
      <c r="H21" s="78"/>
    </row>
    <row r="22" spans="1:8" x14ac:dyDescent="0.25">
      <c r="A22" s="233" t="s">
        <v>94</v>
      </c>
      <c r="B22" s="234"/>
      <c r="C22" s="234"/>
      <c r="D22" s="235"/>
      <c r="E22" s="78"/>
      <c r="F22" s="89"/>
      <c r="G22" s="78"/>
      <c r="H22" s="78"/>
    </row>
    <row r="23" spans="1:8" ht="27.75" customHeight="1" x14ac:dyDescent="0.25">
      <c r="A23" s="233" t="s">
        <v>95</v>
      </c>
      <c r="B23" s="234"/>
      <c r="C23" s="234"/>
      <c r="D23" s="235"/>
      <c r="E23" s="78"/>
      <c r="F23" s="78"/>
      <c r="G23" s="78"/>
      <c r="H23" s="78"/>
    </row>
    <row r="24" spans="1:8" x14ac:dyDescent="0.25">
      <c r="A24" s="197" t="s">
        <v>85</v>
      </c>
      <c r="B24" s="198">
        <v>211</v>
      </c>
      <c r="C24" s="196">
        <f>ГОРЛЕС!L5/1000</f>
        <v>6672.15398</v>
      </c>
      <c r="D24" s="199" t="s">
        <v>69</v>
      </c>
      <c r="E24" s="78"/>
      <c r="F24" s="78"/>
      <c r="G24" s="78"/>
      <c r="H24" s="78"/>
    </row>
    <row r="25" spans="1:8" x14ac:dyDescent="0.25">
      <c r="A25" s="197" t="s">
        <v>86</v>
      </c>
      <c r="B25" s="198">
        <v>213</v>
      </c>
      <c r="C25" s="196">
        <f>ГОРЛЕС!L7/1000</f>
        <v>1999.6445478060004</v>
      </c>
      <c r="D25" s="199" t="s">
        <v>69</v>
      </c>
      <c r="E25" s="78"/>
      <c r="F25" s="78"/>
      <c r="G25" s="78"/>
      <c r="H25" s="78"/>
    </row>
    <row r="26" spans="1:8" x14ac:dyDescent="0.25">
      <c r="A26" s="233" t="s">
        <v>96</v>
      </c>
      <c r="B26" s="234"/>
      <c r="C26" s="234"/>
      <c r="D26" s="235"/>
      <c r="E26" s="78"/>
      <c r="F26" s="78"/>
      <c r="G26" s="78"/>
      <c r="H26" s="78"/>
    </row>
    <row r="27" spans="1:8" x14ac:dyDescent="0.25">
      <c r="A27" s="197" t="s">
        <v>97</v>
      </c>
      <c r="B27" s="198">
        <v>221</v>
      </c>
      <c r="C27" s="196">
        <f>ГОРЛЕС!L8/1000</f>
        <v>78</v>
      </c>
      <c r="D27" s="199" t="s">
        <v>69</v>
      </c>
      <c r="E27" s="78"/>
      <c r="F27" s="78"/>
      <c r="G27" s="78"/>
      <c r="H27" s="78"/>
    </row>
    <row r="28" spans="1:8" x14ac:dyDescent="0.25">
      <c r="A28" s="233" t="s">
        <v>98</v>
      </c>
      <c r="B28" s="234"/>
      <c r="C28" s="234"/>
      <c r="D28" s="235"/>
      <c r="E28" s="78"/>
      <c r="F28" s="78"/>
      <c r="G28" s="78"/>
      <c r="H28" s="78"/>
    </row>
    <row r="29" spans="1:8" x14ac:dyDescent="0.25">
      <c r="A29" s="197" t="s">
        <v>91</v>
      </c>
      <c r="B29" s="198">
        <v>222</v>
      </c>
      <c r="C29" s="196">
        <f>ГОРЛЕС!L9/1000</f>
        <v>259</v>
      </c>
      <c r="D29" s="199" t="s">
        <v>69</v>
      </c>
      <c r="E29" s="78"/>
      <c r="F29" s="78"/>
      <c r="G29" s="78"/>
      <c r="H29" s="78"/>
    </row>
    <row r="30" spans="1:8" x14ac:dyDescent="0.25">
      <c r="A30" s="233" t="s">
        <v>99</v>
      </c>
      <c r="B30" s="234"/>
      <c r="C30" s="234"/>
      <c r="D30" s="235"/>
      <c r="E30" s="78"/>
      <c r="F30" s="78"/>
      <c r="G30" s="78"/>
      <c r="H30" s="78"/>
    </row>
    <row r="31" spans="1:8" x14ac:dyDescent="0.25">
      <c r="A31" s="197" t="s">
        <v>100</v>
      </c>
      <c r="B31" s="198">
        <v>223</v>
      </c>
      <c r="C31" s="210">
        <v>8.3000000000000007</v>
      </c>
      <c r="D31" s="199" t="s">
        <v>69</v>
      </c>
      <c r="E31" s="78"/>
      <c r="F31" s="78"/>
      <c r="G31" s="78"/>
      <c r="H31" s="78"/>
    </row>
    <row r="32" spans="1:8" x14ac:dyDescent="0.25">
      <c r="A32" s="197" t="s">
        <v>101</v>
      </c>
      <c r="B32" s="198">
        <v>223</v>
      </c>
      <c r="C32" s="210">
        <v>7.1</v>
      </c>
      <c r="D32" s="199" t="s">
        <v>69</v>
      </c>
      <c r="E32" s="78"/>
      <c r="F32" s="78">
        <f>ГОРЛЕС!L12/2</f>
        <v>15000</v>
      </c>
      <c r="G32" s="78"/>
      <c r="H32" s="78"/>
    </row>
    <row r="33" spans="1:8" x14ac:dyDescent="0.25">
      <c r="A33" s="197" t="s">
        <v>102</v>
      </c>
      <c r="B33" s="198">
        <v>223</v>
      </c>
      <c r="C33" s="210">
        <v>14.6</v>
      </c>
      <c r="D33" s="199" t="s">
        <v>69</v>
      </c>
      <c r="E33" s="78"/>
      <c r="F33" s="78">
        <v>7100</v>
      </c>
      <c r="G33" s="78"/>
      <c r="H33" s="78"/>
    </row>
    <row r="34" spans="1:8" ht="25.5" x14ac:dyDescent="0.25">
      <c r="A34" s="197" t="s">
        <v>103</v>
      </c>
      <c r="B34" s="198">
        <v>223</v>
      </c>
      <c r="C34" s="196">
        <f>ГОРЛЕС!L10/1000</f>
        <v>555.65</v>
      </c>
      <c r="D34" s="199" t="s">
        <v>69</v>
      </c>
      <c r="E34" s="78"/>
      <c r="F34" s="78"/>
      <c r="G34" s="78"/>
      <c r="H34" s="78"/>
    </row>
    <row r="35" spans="1:8" ht="25.5" x14ac:dyDescent="0.25">
      <c r="A35" s="197" t="s">
        <v>104</v>
      </c>
      <c r="B35" s="198">
        <v>223</v>
      </c>
      <c r="C35" s="196">
        <f>ГОРЛЕС!L11/1000</f>
        <v>800.91</v>
      </c>
      <c r="D35" s="199" t="s">
        <v>69</v>
      </c>
      <c r="E35" s="78"/>
      <c r="F35" s="89"/>
      <c r="G35" s="89"/>
      <c r="H35" s="78"/>
    </row>
    <row r="36" spans="1:8" x14ac:dyDescent="0.25">
      <c r="A36" s="233" t="s">
        <v>105</v>
      </c>
      <c r="B36" s="234"/>
      <c r="C36" s="234"/>
      <c r="D36" s="235"/>
      <c r="E36" s="78"/>
      <c r="F36" s="78"/>
      <c r="G36" s="78"/>
      <c r="H36" s="78"/>
    </row>
    <row r="37" spans="1:8" ht="25.5" x14ac:dyDescent="0.25">
      <c r="A37" s="197" t="s">
        <v>106</v>
      </c>
      <c r="B37" s="198">
        <v>225</v>
      </c>
      <c r="C37" s="210">
        <v>116</v>
      </c>
      <c r="D37" s="199" t="s">
        <v>69</v>
      </c>
      <c r="E37" s="78"/>
      <c r="F37" s="78"/>
      <c r="G37" s="78"/>
      <c r="H37" s="78"/>
    </row>
    <row r="38" spans="1:8" ht="25.5" x14ac:dyDescent="0.25">
      <c r="A38" s="197" t="s">
        <v>107</v>
      </c>
      <c r="B38" s="198">
        <v>225</v>
      </c>
      <c r="C38" s="196">
        <v>0</v>
      </c>
      <c r="D38" s="199" t="s">
        <v>69</v>
      </c>
      <c r="E38" s="78"/>
      <c r="F38" s="78"/>
      <c r="G38" s="78"/>
      <c r="H38" s="78"/>
    </row>
    <row r="39" spans="1:8" x14ac:dyDescent="0.25">
      <c r="A39" s="197" t="s">
        <v>108</v>
      </c>
      <c r="B39" s="198">
        <v>224</v>
      </c>
      <c r="C39" s="196">
        <v>0</v>
      </c>
      <c r="D39" s="199" t="s">
        <v>69</v>
      </c>
      <c r="E39" s="78"/>
      <c r="F39" s="78"/>
      <c r="G39" s="78"/>
      <c r="H39" s="78"/>
    </row>
    <row r="40" spans="1:8" ht="38.25" x14ac:dyDescent="0.25">
      <c r="A40" s="197" t="s">
        <v>109</v>
      </c>
      <c r="B40" s="198">
        <v>225</v>
      </c>
      <c r="C40" s="196">
        <f>ГОРЛЕС!J13/1000</f>
        <v>470</v>
      </c>
      <c r="D40" s="199" t="s">
        <v>69</v>
      </c>
      <c r="E40" s="78"/>
      <c r="F40" s="89">
        <f>C37+C40+C41+C43</f>
        <v>1070</v>
      </c>
      <c r="G40" s="78"/>
      <c r="H40" s="78"/>
    </row>
    <row r="41" spans="1:8" ht="25.5" x14ac:dyDescent="0.25">
      <c r="A41" s="197" t="s">
        <v>110</v>
      </c>
      <c r="B41" s="198">
        <v>225</v>
      </c>
      <c r="C41" s="210">
        <v>401.9</v>
      </c>
      <c r="D41" s="199" t="s">
        <v>69</v>
      </c>
      <c r="E41" s="78"/>
      <c r="F41" s="91">
        <f>F40-G85</f>
        <v>1070</v>
      </c>
      <c r="G41" s="78"/>
      <c r="H41" s="78"/>
    </row>
    <row r="42" spans="1:8" x14ac:dyDescent="0.25">
      <c r="A42" s="233" t="s">
        <v>111</v>
      </c>
      <c r="B42" s="234"/>
      <c r="C42" s="234"/>
      <c r="D42" s="235"/>
      <c r="E42" s="78"/>
      <c r="F42" s="78"/>
      <c r="G42" s="78"/>
      <c r="H42" s="78"/>
    </row>
    <row r="43" spans="1:8" x14ac:dyDescent="0.25">
      <c r="A43" s="197" t="s">
        <v>112</v>
      </c>
      <c r="B43" s="198">
        <v>225</v>
      </c>
      <c r="C43" s="211">
        <v>82.1</v>
      </c>
      <c r="D43" s="199" t="s">
        <v>69</v>
      </c>
      <c r="E43" s="78"/>
      <c r="F43" s="78"/>
      <c r="G43" s="78"/>
      <c r="H43" s="78"/>
    </row>
    <row r="44" spans="1:8" ht="25.5" x14ac:dyDescent="0.25">
      <c r="A44" s="197" t="s">
        <v>113</v>
      </c>
      <c r="B44" s="198">
        <v>340</v>
      </c>
      <c r="C44" s="200">
        <v>0</v>
      </c>
      <c r="D44" s="199" t="s">
        <v>69</v>
      </c>
      <c r="E44" s="78"/>
      <c r="F44" s="89"/>
      <c r="G44" s="78"/>
      <c r="H44" s="78"/>
    </row>
    <row r="45" spans="1:8" x14ac:dyDescent="0.25">
      <c r="A45" s="197" t="s">
        <v>114</v>
      </c>
      <c r="B45" s="198">
        <v>226</v>
      </c>
      <c r="C45" s="200">
        <f>ГОРЛЕС!L17/1000</f>
        <v>44</v>
      </c>
      <c r="D45" s="199" t="s">
        <v>69</v>
      </c>
      <c r="E45" s="78"/>
      <c r="F45" s="78"/>
      <c r="G45" s="78"/>
      <c r="H45" s="78"/>
    </row>
    <row r="46" spans="1:8" x14ac:dyDescent="0.25">
      <c r="A46" s="197" t="s">
        <v>115</v>
      </c>
      <c r="B46" s="198">
        <v>225</v>
      </c>
      <c r="C46" s="200">
        <v>0</v>
      </c>
      <c r="D46" s="199" t="s">
        <v>69</v>
      </c>
      <c r="E46" s="78"/>
      <c r="F46" s="78"/>
      <c r="G46" s="78"/>
      <c r="H46" s="78"/>
    </row>
    <row r="47" spans="1:8" x14ac:dyDescent="0.25">
      <c r="A47" s="233" t="s">
        <v>116</v>
      </c>
      <c r="B47" s="234"/>
      <c r="C47" s="234"/>
      <c r="D47" s="235"/>
      <c r="E47" s="78"/>
      <c r="F47" s="78"/>
      <c r="G47" s="78"/>
      <c r="H47" s="78"/>
    </row>
    <row r="48" spans="1:8" x14ac:dyDescent="0.25">
      <c r="A48" s="197" t="s">
        <v>90</v>
      </c>
      <c r="B48" s="198">
        <v>212</v>
      </c>
      <c r="C48" s="200">
        <f>ГОРЛЕС!L6/1000</f>
        <v>390</v>
      </c>
      <c r="D48" s="199" t="s">
        <v>69</v>
      </c>
      <c r="E48" s="78"/>
      <c r="F48" s="78"/>
      <c r="G48" s="78"/>
      <c r="H48" s="78"/>
    </row>
    <row r="49" spans="1:8" x14ac:dyDescent="0.25">
      <c r="A49" s="197" t="s">
        <v>117</v>
      </c>
      <c r="B49" s="198">
        <v>224</v>
      </c>
      <c r="C49" s="200">
        <v>0</v>
      </c>
      <c r="D49" s="199" t="s">
        <v>69</v>
      </c>
      <c r="E49" s="78"/>
      <c r="F49" s="78"/>
      <c r="G49" s="78"/>
      <c r="H49" s="78"/>
    </row>
    <row r="50" spans="1:8" x14ac:dyDescent="0.25">
      <c r="A50" s="197" t="s">
        <v>92</v>
      </c>
      <c r="B50" s="198">
        <v>226</v>
      </c>
      <c r="C50" s="200">
        <f>(ГОРЛЕС!L18+ГОРЛЕС!L19+ГОРЛЕС!L16+ГОРЛЕС!L15)/1000</f>
        <v>3293.181</v>
      </c>
      <c r="D50" s="199" t="s">
        <v>69</v>
      </c>
      <c r="E50" s="78"/>
      <c r="F50" s="78"/>
      <c r="G50" s="78"/>
      <c r="H50" s="78"/>
    </row>
    <row r="51" spans="1:8" x14ac:dyDescent="0.25">
      <c r="A51" s="197" t="s">
        <v>93</v>
      </c>
      <c r="B51" s="198">
        <v>290</v>
      </c>
      <c r="C51" s="200">
        <v>0</v>
      </c>
      <c r="D51" s="199" t="s">
        <v>69</v>
      </c>
      <c r="E51" s="78"/>
      <c r="F51" s="78"/>
      <c r="G51" s="78"/>
      <c r="H51" s="78"/>
    </row>
    <row r="52" spans="1:8" x14ac:dyDescent="0.25">
      <c r="A52" s="197" t="s">
        <v>88</v>
      </c>
      <c r="B52" s="198">
        <v>340</v>
      </c>
      <c r="C52" s="200">
        <f>ГОРЛЕС!L22/1000</f>
        <v>141.30500000000001</v>
      </c>
      <c r="D52" s="199" t="s">
        <v>69</v>
      </c>
      <c r="E52" s="78"/>
      <c r="F52" s="78"/>
      <c r="G52" s="78"/>
      <c r="H52" s="78"/>
    </row>
    <row r="53" spans="1:8" x14ac:dyDescent="0.25">
      <c r="A53" s="233" t="s">
        <v>118</v>
      </c>
      <c r="B53" s="234"/>
      <c r="C53" s="234"/>
      <c r="D53" s="235"/>
      <c r="E53" s="78"/>
      <c r="F53" s="78"/>
      <c r="G53" s="78"/>
      <c r="H53" s="78"/>
    </row>
    <row r="54" spans="1:8" x14ac:dyDescent="0.25">
      <c r="A54" s="197" t="s">
        <v>85</v>
      </c>
      <c r="B54" s="198">
        <v>211</v>
      </c>
      <c r="C54" s="196">
        <f>C24</f>
        <v>6672.15398</v>
      </c>
      <c r="D54" s="199">
        <f>ROUND(C54*100/($C$12+$C$13),1)</f>
        <v>128</v>
      </c>
      <c r="E54" s="78"/>
      <c r="F54" s="78"/>
      <c r="G54" s="78"/>
      <c r="H54" s="78"/>
    </row>
    <row r="55" spans="1:8" x14ac:dyDescent="0.25">
      <c r="A55" s="197" t="s">
        <v>119</v>
      </c>
      <c r="B55" s="198">
        <v>213</v>
      </c>
      <c r="C55" s="196">
        <f>C25</f>
        <v>1999.6445478060004</v>
      </c>
      <c r="D55" s="199">
        <f t="shared" ref="D55:D65" si="0">ROUND(C55*100/($C$12+$C$13),1)</f>
        <v>38.299999999999997</v>
      </c>
      <c r="E55" s="78"/>
      <c r="F55" s="78"/>
      <c r="G55" s="78"/>
      <c r="H55" s="78"/>
    </row>
    <row r="56" spans="1:8" x14ac:dyDescent="0.25">
      <c r="A56" s="197" t="s">
        <v>90</v>
      </c>
      <c r="B56" s="198">
        <v>212</v>
      </c>
      <c r="C56" s="196">
        <f>C48</f>
        <v>390</v>
      </c>
      <c r="D56" s="199">
        <f t="shared" si="0"/>
        <v>7.5</v>
      </c>
      <c r="E56" s="78"/>
      <c r="F56" s="78"/>
      <c r="G56" s="78"/>
      <c r="H56" s="78"/>
    </row>
    <row r="57" spans="1:8" x14ac:dyDescent="0.25">
      <c r="A57" s="197" t="s">
        <v>97</v>
      </c>
      <c r="B57" s="198">
        <v>221</v>
      </c>
      <c r="C57" s="196">
        <f>C27</f>
        <v>78</v>
      </c>
      <c r="D57" s="199">
        <f t="shared" si="0"/>
        <v>1.5</v>
      </c>
      <c r="E57" s="78"/>
      <c r="F57" s="78"/>
      <c r="G57" s="78"/>
      <c r="H57" s="78"/>
    </row>
    <row r="58" spans="1:8" x14ac:dyDescent="0.25">
      <c r="A58" s="197" t="s">
        <v>91</v>
      </c>
      <c r="B58" s="198">
        <v>222</v>
      </c>
      <c r="C58" s="196">
        <f>C29</f>
        <v>259</v>
      </c>
      <c r="D58" s="199">
        <f t="shared" si="0"/>
        <v>5</v>
      </c>
      <c r="E58" s="78"/>
      <c r="F58" s="78"/>
      <c r="G58" s="78"/>
      <c r="H58" s="78"/>
    </row>
    <row r="59" spans="1:8" x14ac:dyDescent="0.25">
      <c r="A59" s="197" t="s">
        <v>120</v>
      </c>
      <c r="B59" s="198">
        <v>223</v>
      </c>
      <c r="C59" s="196">
        <f>C31+C32+C33+C34+C35</f>
        <v>1386.56</v>
      </c>
      <c r="D59" s="199">
        <f t="shared" si="0"/>
        <v>26.6</v>
      </c>
      <c r="E59" s="78"/>
      <c r="F59" s="78"/>
      <c r="G59" s="78"/>
      <c r="H59" s="78"/>
    </row>
    <row r="60" spans="1:8" x14ac:dyDescent="0.25">
      <c r="A60" s="197" t="s">
        <v>121</v>
      </c>
      <c r="B60" s="198">
        <v>224</v>
      </c>
      <c r="C60" s="196">
        <f>C39</f>
        <v>0</v>
      </c>
      <c r="D60" s="199">
        <f t="shared" si="0"/>
        <v>0</v>
      </c>
      <c r="E60" s="78"/>
      <c r="F60" s="78"/>
      <c r="G60" s="78"/>
      <c r="H60" s="78"/>
    </row>
    <row r="61" spans="1:8" x14ac:dyDescent="0.25">
      <c r="A61" s="197" t="s">
        <v>122</v>
      </c>
      <c r="B61" s="198">
        <v>225</v>
      </c>
      <c r="C61" s="196">
        <f>C37+C38+C40+C41+C43</f>
        <v>1070</v>
      </c>
      <c r="D61" s="199">
        <f t="shared" si="0"/>
        <v>20.5</v>
      </c>
      <c r="E61" s="78"/>
      <c r="F61" s="78"/>
      <c r="G61" s="78"/>
      <c r="H61" s="78"/>
    </row>
    <row r="62" spans="1:8" x14ac:dyDescent="0.25">
      <c r="A62" s="197" t="s">
        <v>92</v>
      </c>
      <c r="B62" s="198">
        <v>226</v>
      </c>
      <c r="C62" s="196">
        <f>C45+C50</f>
        <v>3337.181</v>
      </c>
      <c r="D62" s="199">
        <f t="shared" si="0"/>
        <v>64</v>
      </c>
      <c r="E62" s="78"/>
      <c r="F62" s="78"/>
      <c r="G62" s="78"/>
      <c r="H62" s="78"/>
    </row>
    <row r="63" spans="1:8" x14ac:dyDescent="0.25">
      <c r="A63" s="197" t="s">
        <v>93</v>
      </c>
      <c r="B63" s="198">
        <v>290</v>
      </c>
      <c r="C63" s="196">
        <f>C51</f>
        <v>0</v>
      </c>
      <c r="D63" s="199">
        <f t="shared" si="0"/>
        <v>0</v>
      </c>
      <c r="E63" s="78"/>
      <c r="F63" s="78"/>
      <c r="G63" s="78"/>
      <c r="H63" s="78"/>
    </row>
    <row r="64" spans="1:8" x14ac:dyDescent="0.25">
      <c r="A64" s="197" t="s">
        <v>123</v>
      </c>
      <c r="B64" s="198">
        <v>340</v>
      </c>
      <c r="C64" s="196">
        <f>C44+C52</f>
        <v>141.30500000000001</v>
      </c>
      <c r="D64" s="199">
        <f t="shared" si="0"/>
        <v>2.7</v>
      </c>
      <c r="E64" s="78"/>
      <c r="F64" s="78"/>
      <c r="G64" s="78"/>
      <c r="H64" s="78"/>
    </row>
    <row r="65" spans="1:8" x14ac:dyDescent="0.25">
      <c r="A65" s="197" t="s">
        <v>124</v>
      </c>
      <c r="B65" s="198"/>
      <c r="C65" s="196">
        <f>SUM(C54:C64)</f>
        <v>15333.844527806001</v>
      </c>
      <c r="D65" s="201">
        <f t="shared" si="0"/>
        <v>294.10000000000002</v>
      </c>
      <c r="E65" s="78"/>
      <c r="F65" s="78"/>
      <c r="G65" s="78"/>
      <c r="H65" s="78"/>
    </row>
    <row r="66" spans="1:8" x14ac:dyDescent="0.25">
      <c r="A66" s="202" t="s">
        <v>125</v>
      </c>
      <c r="B66" s="198"/>
      <c r="C66" s="203">
        <f>C12+C13+C15+C17+C18+C20+C21+SUM(C54:C64)</f>
        <v>23756.959999999999</v>
      </c>
      <c r="D66" s="199">
        <f>SUM(D54:D65)</f>
        <v>588.20000000000005</v>
      </c>
      <c r="E66" s="78"/>
      <c r="F66" s="91"/>
      <c r="G66" s="78"/>
      <c r="H66" s="78"/>
    </row>
    <row r="67" spans="1:8" x14ac:dyDescent="0.25">
      <c r="A67" s="233" t="s">
        <v>126</v>
      </c>
      <c r="B67" s="234"/>
      <c r="C67" s="234"/>
      <c r="D67" s="235"/>
      <c r="E67" s="78"/>
      <c r="F67" s="78"/>
      <c r="G67" s="78"/>
      <c r="H67" s="78"/>
    </row>
    <row r="68" spans="1:8" ht="25.5" x14ac:dyDescent="0.25">
      <c r="A68" s="197" t="s">
        <v>103</v>
      </c>
      <c r="B68" s="198">
        <v>223</v>
      </c>
      <c r="C68" s="196">
        <f>ГОРЛЕС!M10/1000</f>
        <v>555.65</v>
      </c>
      <c r="D68" s="199" t="s">
        <v>69</v>
      </c>
      <c r="E68" s="78"/>
      <c r="F68" s="78"/>
      <c r="G68" s="78"/>
      <c r="H68" s="78"/>
    </row>
    <row r="69" spans="1:8" ht="25.5" x14ac:dyDescent="0.25">
      <c r="A69" s="197" t="s">
        <v>127</v>
      </c>
      <c r="B69" s="198">
        <v>223</v>
      </c>
      <c r="C69" s="196">
        <f>ГОРЛЕС!M11/1000</f>
        <v>88.99</v>
      </c>
      <c r="D69" s="199" t="s">
        <v>69</v>
      </c>
      <c r="E69" s="78"/>
      <c r="F69" s="78"/>
      <c r="G69" s="78"/>
      <c r="H69" s="78"/>
    </row>
    <row r="70" spans="1:8" x14ac:dyDescent="0.25">
      <c r="A70" s="197" t="s">
        <v>128</v>
      </c>
      <c r="B70" s="198">
        <v>290</v>
      </c>
      <c r="C70" s="196">
        <f>ГОРЛЕС!M23/1000</f>
        <v>1176</v>
      </c>
      <c r="D70" s="199" t="s">
        <v>69</v>
      </c>
      <c r="E70" s="78"/>
      <c r="F70" s="78"/>
      <c r="G70" s="78"/>
      <c r="H70" s="78"/>
    </row>
    <row r="71" spans="1:8" x14ac:dyDescent="0.25">
      <c r="A71" s="202" t="s">
        <v>129</v>
      </c>
      <c r="B71" s="198"/>
      <c r="C71" s="203">
        <f>SUM(C68:C70)</f>
        <v>1820.6399999999999</v>
      </c>
      <c r="D71" s="199" t="s">
        <v>69</v>
      </c>
      <c r="E71" s="78"/>
      <c r="F71" s="78"/>
      <c r="G71" s="78"/>
      <c r="H71" s="78"/>
    </row>
    <row r="72" spans="1:8" ht="31.5" customHeight="1" x14ac:dyDescent="0.25">
      <c r="A72" s="233" t="s">
        <v>130</v>
      </c>
      <c r="B72" s="234"/>
      <c r="C72" s="234"/>
      <c r="D72" s="235"/>
      <c r="E72" s="78"/>
      <c r="F72" s="78"/>
      <c r="G72" s="78"/>
      <c r="H72" s="78"/>
    </row>
    <row r="73" spans="1:8" x14ac:dyDescent="0.25">
      <c r="A73" s="197" t="s">
        <v>85</v>
      </c>
      <c r="B73" s="198">
        <v>211</v>
      </c>
      <c r="C73" s="196">
        <f>C54+C12</f>
        <v>10684.2</v>
      </c>
      <c r="D73" s="199" t="s">
        <v>69</v>
      </c>
      <c r="E73" s="89"/>
      <c r="F73" s="89"/>
      <c r="G73" s="89"/>
      <c r="H73" s="89"/>
    </row>
    <row r="74" spans="1:8" x14ac:dyDescent="0.25">
      <c r="A74" s="197" t="s">
        <v>119</v>
      </c>
      <c r="B74" s="198">
        <v>213</v>
      </c>
      <c r="C74" s="196">
        <f>C55+C13</f>
        <v>3202.1000000000004</v>
      </c>
      <c r="D74" s="199" t="s">
        <v>69</v>
      </c>
      <c r="E74" s="89"/>
      <c r="F74" s="89"/>
      <c r="G74" s="89"/>
      <c r="H74" s="89"/>
    </row>
    <row r="75" spans="1:8" x14ac:dyDescent="0.25">
      <c r="A75" s="197" t="s">
        <v>90</v>
      </c>
      <c r="B75" s="198">
        <v>212</v>
      </c>
      <c r="C75" s="196">
        <f>C56+C17</f>
        <v>390</v>
      </c>
      <c r="D75" s="199" t="s">
        <v>69</v>
      </c>
      <c r="E75" s="89"/>
      <c r="F75" s="89"/>
      <c r="G75" s="89"/>
      <c r="H75" s="89"/>
    </row>
    <row r="76" spans="1:8" x14ac:dyDescent="0.25">
      <c r="A76" s="197" t="s">
        <v>97</v>
      </c>
      <c r="B76" s="198">
        <v>221</v>
      </c>
      <c r="C76" s="196">
        <f>C57</f>
        <v>78</v>
      </c>
      <c r="D76" s="199" t="s">
        <v>69</v>
      </c>
      <c r="E76" s="89"/>
      <c r="F76" s="89"/>
      <c r="G76" s="89"/>
      <c r="H76" s="89"/>
    </row>
    <row r="77" spans="1:8" x14ac:dyDescent="0.25">
      <c r="A77" s="197" t="s">
        <v>91</v>
      </c>
      <c r="B77" s="198">
        <v>222</v>
      </c>
      <c r="C77" s="196">
        <f>C58+C18</f>
        <v>700</v>
      </c>
      <c r="D77" s="199" t="s">
        <v>69</v>
      </c>
      <c r="E77" s="89"/>
      <c r="F77" s="89"/>
      <c r="G77" s="89"/>
      <c r="H77" s="89"/>
    </row>
    <row r="78" spans="1:8" x14ac:dyDescent="0.25">
      <c r="A78" s="197" t="s">
        <v>120</v>
      </c>
      <c r="B78" s="198">
        <v>223</v>
      </c>
      <c r="C78" s="196">
        <f>C59+C68+C69</f>
        <v>2031.2</v>
      </c>
      <c r="D78" s="199" t="s">
        <v>69</v>
      </c>
      <c r="E78" s="89"/>
      <c r="F78" s="89"/>
      <c r="G78" s="89"/>
      <c r="H78" s="89"/>
    </row>
    <row r="79" spans="1:8" x14ac:dyDescent="0.25">
      <c r="A79" s="197" t="s">
        <v>121</v>
      </c>
      <c r="B79" s="198">
        <v>224</v>
      </c>
      <c r="C79" s="196">
        <f>C60</f>
        <v>0</v>
      </c>
      <c r="D79" s="199" t="s">
        <v>69</v>
      </c>
      <c r="E79" s="89"/>
      <c r="F79" s="89"/>
      <c r="G79" s="89"/>
      <c r="H79" s="89"/>
    </row>
    <row r="80" spans="1:8" ht="18.75" customHeight="1" x14ac:dyDescent="0.25">
      <c r="A80" s="197" t="s">
        <v>122</v>
      </c>
      <c r="B80" s="198">
        <v>225</v>
      </c>
      <c r="C80" s="196">
        <f>C61</f>
        <v>1070</v>
      </c>
      <c r="D80" s="199" t="s">
        <v>69</v>
      </c>
      <c r="E80" s="89"/>
      <c r="F80" s="89"/>
      <c r="G80" s="89"/>
      <c r="H80" s="89"/>
    </row>
    <row r="81" spans="1:8" ht="18.75" customHeight="1" x14ac:dyDescent="0.25">
      <c r="A81" s="197" t="s">
        <v>92</v>
      </c>
      <c r="B81" s="198">
        <v>226</v>
      </c>
      <c r="C81" s="196">
        <f>C62+C20</f>
        <v>4880</v>
      </c>
      <c r="D81" s="199" t="s">
        <v>69</v>
      </c>
      <c r="E81" s="89"/>
      <c r="F81" s="89"/>
      <c r="G81" s="89"/>
      <c r="H81" s="89"/>
    </row>
    <row r="82" spans="1:8" x14ac:dyDescent="0.25">
      <c r="A82" s="197" t="s">
        <v>93</v>
      </c>
      <c r="B82" s="198">
        <v>290</v>
      </c>
      <c r="C82" s="196">
        <f>C70+C63+C21</f>
        <v>1176</v>
      </c>
      <c r="D82" s="199" t="s">
        <v>69</v>
      </c>
      <c r="E82" s="89"/>
      <c r="F82" s="89"/>
      <c r="G82" s="89"/>
      <c r="H82" s="89"/>
    </row>
    <row r="83" spans="1:8" x14ac:dyDescent="0.25">
      <c r="A83" s="197" t="s">
        <v>123</v>
      </c>
      <c r="B83" s="198">
        <v>340</v>
      </c>
      <c r="C83" s="196">
        <f>C15+C64</f>
        <v>1366.1000000000001</v>
      </c>
      <c r="D83" s="199" t="s">
        <v>69</v>
      </c>
      <c r="E83" s="89"/>
      <c r="F83" s="89"/>
      <c r="G83" s="89"/>
      <c r="H83" s="89"/>
    </row>
    <row r="84" spans="1:8" ht="15.75" thickBot="1" x14ac:dyDescent="0.3">
      <c r="A84" s="204" t="s">
        <v>131</v>
      </c>
      <c r="B84" s="205"/>
      <c r="C84" s="206">
        <f>SUM(C73:C83)</f>
        <v>25577.599999999999</v>
      </c>
      <c r="D84" s="207"/>
      <c r="E84" s="89"/>
      <c r="F84" s="89"/>
      <c r="G84" s="49">
        <f>ГОРЛЕС!I24/1000</f>
        <v>25577.599999999999</v>
      </c>
      <c r="H84" s="89"/>
    </row>
    <row r="85" spans="1:8" ht="16.5" thickTop="1" x14ac:dyDescent="0.25">
      <c r="A85" s="92"/>
      <c r="G85" s="34">
        <f>C84-G84</f>
        <v>0</v>
      </c>
    </row>
    <row r="88" spans="1:8" x14ac:dyDescent="0.25">
      <c r="E88" s="67"/>
    </row>
  </sheetData>
  <mergeCells count="21">
    <mergeCell ref="A53:D53"/>
    <mergeCell ref="A67:D67"/>
    <mergeCell ref="A72:D72"/>
    <mergeCell ref="A26:D26"/>
    <mergeCell ref="A28:D28"/>
    <mergeCell ref="A30:D30"/>
    <mergeCell ref="A36:D36"/>
    <mergeCell ref="A42:D42"/>
    <mergeCell ref="A47:D47"/>
    <mergeCell ref="A23:D23"/>
    <mergeCell ref="B2:D2"/>
    <mergeCell ref="B3:D3"/>
    <mergeCell ref="A4:D4"/>
    <mergeCell ref="A5:D5"/>
    <mergeCell ref="A6:D6"/>
    <mergeCell ref="A9:D9"/>
    <mergeCell ref="A10:D10"/>
    <mergeCell ref="A11:D11"/>
    <mergeCell ref="A14:D14"/>
    <mergeCell ref="A16:D16"/>
    <mergeCell ref="A22:D22"/>
  </mergeCells>
  <pageMargins left="0.78740157480314965" right="0" top="0" bottom="0" header="0" footer="0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01"/>
  <sheetViews>
    <sheetView topLeftCell="A53" workbookViewId="0">
      <selection activeCell="D77" sqref="D77"/>
    </sheetView>
  </sheetViews>
  <sheetFormatPr defaultRowHeight="15" x14ac:dyDescent="0.25"/>
  <cols>
    <col min="1" max="1" width="4" customWidth="1"/>
    <col min="2" max="2" width="23.28515625" customWidth="1"/>
    <col min="3" max="3" width="8.42578125" style="48" customWidth="1"/>
    <col min="4" max="4" width="10.28515625" style="48" customWidth="1"/>
    <col min="5" max="5" width="9.140625" style="184"/>
    <col min="6" max="6" width="14" style="48" customWidth="1"/>
    <col min="7" max="7" width="16.28515625" style="48" customWidth="1"/>
    <col min="8" max="8" width="10" style="192" bestFit="1" customWidth="1"/>
    <col min="9" max="9" width="14.85546875" style="48" customWidth="1"/>
    <col min="10" max="10" width="14.42578125" customWidth="1"/>
  </cols>
  <sheetData>
    <row r="1" spans="1:9" s="56" customFormat="1" ht="11.25" x14ac:dyDescent="0.2">
      <c r="C1" s="77"/>
      <c r="D1" s="77"/>
      <c r="E1" s="180"/>
      <c r="F1" s="77"/>
      <c r="G1" s="77"/>
      <c r="H1" s="187"/>
      <c r="I1" s="93" t="s">
        <v>132</v>
      </c>
    </row>
    <row r="2" spans="1:9" s="56" customFormat="1" ht="11.25" x14ac:dyDescent="0.2">
      <c r="C2" s="77"/>
      <c r="D2" s="77"/>
      <c r="E2" s="180"/>
      <c r="F2" s="93"/>
      <c r="G2" s="245" t="s">
        <v>55</v>
      </c>
      <c r="H2" s="245"/>
      <c r="I2" s="245"/>
    </row>
    <row r="3" spans="1:9" s="56" customFormat="1" ht="11.25" x14ac:dyDescent="0.2">
      <c r="C3" s="77"/>
      <c r="D3" s="77"/>
      <c r="E3" s="180"/>
      <c r="F3" s="93"/>
      <c r="G3" s="245" t="s">
        <v>56</v>
      </c>
      <c r="H3" s="245"/>
      <c r="I3" s="245"/>
    </row>
    <row r="4" spans="1:9" s="56" customFormat="1" ht="11.25" x14ac:dyDescent="0.2">
      <c r="C4" s="77"/>
      <c r="D4" s="77"/>
      <c r="E4" s="180"/>
      <c r="F4" s="245" t="s">
        <v>57</v>
      </c>
      <c r="G4" s="245"/>
      <c r="H4" s="245"/>
      <c r="I4" s="245"/>
    </row>
    <row r="6" spans="1:9" ht="15" customHeight="1" x14ac:dyDescent="0.25">
      <c r="A6" s="246" t="s">
        <v>133</v>
      </c>
      <c r="B6" s="246"/>
      <c r="C6" s="246"/>
      <c r="D6" s="246"/>
      <c r="E6" s="246"/>
      <c r="F6" s="246"/>
      <c r="G6" s="246"/>
      <c r="H6" s="246"/>
      <c r="I6" s="246"/>
    </row>
    <row r="7" spans="1:9" ht="15.75" customHeight="1" thickBot="1" x14ac:dyDescent="0.3">
      <c r="A7" s="246" t="s">
        <v>174</v>
      </c>
      <c r="B7" s="246"/>
      <c r="C7" s="246"/>
      <c r="D7" s="246"/>
      <c r="E7" s="246"/>
      <c r="F7" s="246"/>
      <c r="G7" s="246"/>
      <c r="H7" s="246"/>
      <c r="I7" s="246"/>
    </row>
    <row r="8" spans="1:9" s="83" customFormat="1" ht="78.75" x14ac:dyDescent="0.2">
      <c r="A8" s="168" t="s">
        <v>134</v>
      </c>
      <c r="B8" s="170" t="s">
        <v>135</v>
      </c>
      <c r="C8" s="94" t="s">
        <v>4</v>
      </c>
      <c r="D8" s="94" t="s">
        <v>136</v>
      </c>
      <c r="E8" s="181" t="s">
        <v>137</v>
      </c>
      <c r="F8" s="94" t="s">
        <v>138</v>
      </c>
      <c r="G8" s="94" t="s">
        <v>139</v>
      </c>
      <c r="H8" s="188" t="s">
        <v>8</v>
      </c>
      <c r="I8" s="95" t="s">
        <v>140</v>
      </c>
    </row>
    <row r="9" spans="1:9" s="83" customFormat="1" ht="11.25" x14ac:dyDescent="0.2">
      <c r="A9" s="169">
        <v>1</v>
      </c>
      <c r="B9" s="171">
        <v>2</v>
      </c>
      <c r="C9" s="85">
        <v>3</v>
      </c>
      <c r="D9" s="85">
        <v>4</v>
      </c>
      <c r="E9" s="182">
        <v>5</v>
      </c>
      <c r="F9" s="85">
        <v>6</v>
      </c>
      <c r="G9" s="85" t="s">
        <v>141</v>
      </c>
      <c r="H9" s="189">
        <v>8</v>
      </c>
      <c r="I9" s="96" t="s">
        <v>142</v>
      </c>
    </row>
    <row r="10" spans="1:9" s="83" customFormat="1" ht="12" customHeight="1" x14ac:dyDescent="0.2">
      <c r="A10" s="241">
        <v>1</v>
      </c>
      <c r="B10" s="242" t="s">
        <v>173</v>
      </c>
      <c r="C10" s="151">
        <v>900</v>
      </c>
      <c r="D10" s="152">
        <f>SUM(D11:D20)</f>
        <v>1544.4521189992499</v>
      </c>
      <c r="E10" s="183">
        <f>SUM(E11:E20)</f>
        <v>950.42499999999995</v>
      </c>
      <c r="F10" s="152">
        <f>SUM(F11:F20)</f>
        <v>2844.7007055612003</v>
      </c>
      <c r="G10" s="152">
        <f>SUM(G11:G20)</f>
        <v>5339.5778245604497</v>
      </c>
      <c r="H10" s="190">
        <f>SUM(H11:H20)</f>
        <v>303.44</v>
      </c>
      <c r="I10" s="153">
        <f>G10+H10</f>
        <v>5643.0178245604493</v>
      </c>
    </row>
    <row r="11" spans="1:9" s="83" customFormat="1" ht="12" customHeight="1" x14ac:dyDescent="0.2">
      <c r="A11" s="241"/>
      <c r="B11" s="243"/>
      <c r="C11" s="85">
        <v>211</v>
      </c>
      <c r="D11" s="97">
        <f>'прил 1'!F24</f>
        <v>1188.305175</v>
      </c>
      <c r="E11" s="177">
        <v>0</v>
      </c>
      <c r="F11" s="97">
        <f>'прил 1'!F46</f>
        <v>1334.4307959999999</v>
      </c>
      <c r="G11" s="152">
        <f t="shared" ref="G11:G20" si="0">D11+E11+F11</f>
        <v>2522.7359710000001</v>
      </c>
      <c r="H11" s="191">
        <v>0</v>
      </c>
      <c r="I11" s="153">
        <f t="shared" ref="I11:I20" si="1">G11+H11</f>
        <v>2522.7359710000001</v>
      </c>
    </row>
    <row r="12" spans="1:9" s="83" customFormat="1" ht="12" customHeight="1" x14ac:dyDescent="0.2">
      <c r="A12" s="241"/>
      <c r="B12" s="243"/>
      <c r="C12" s="85">
        <v>213</v>
      </c>
      <c r="D12" s="97">
        <f>'прил 1'!F25</f>
        <v>356.14694399924997</v>
      </c>
      <c r="E12" s="177">
        <v>0</v>
      </c>
      <c r="F12" s="97">
        <f>'прил 1'!F47</f>
        <v>399.92890956119993</v>
      </c>
      <c r="G12" s="152">
        <f t="shared" si="0"/>
        <v>756.0758535604499</v>
      </c>
      <c r="H12" s="191">
        <v>0</v>
      </c>
      <c r="I12" s="153">
        <f t="shared" si="1"/>
        <v>756.0758535604499</v>
      </c>
    </row>
    <row r="13" spans="1:9" s="83" customFormat="1" ht="12" customHeight="1" x14ac:dyDescent="0.2">
      <c r="A13" s="241"/>
      <c r="B13" s="243"/>
      <c r="C13" s="85">
        <v>212</v>
      </c>
      <c r="D13" s="97">
        <v>0</v>
      </c>
      <c r="E13" s="177">
        <v>0</v>
      </c>
      <c r="F13" s="97">
        <f>ГОРЛЕС!L6/1000/6</f>
        <v>65</v>
      </c>
      <c r="G13" s="152">
        <f t="shared" si="0"/>
        <v>65</v>
      </c>
      <c r="H13" s="191">
        <v>0</v>
      </c>
      <c r="I13" s="153">
        <f>G13+H13</f>
        <v>65</v>
      </c>
    </row>
    <row r="14" spans="1:9" s="83" customFormat="1" ht="12" customHeight="1" x14ac:dyDescent="0.2">
      <c r="A14" s="241"/>
      <c r="B14" s="243"/>
      <c r="C14" s="85">
        <v>221</v>
      </c>
      <c r="D14" s="97">
        <v>0</v>
      </c>
      <c r="E14" s="177">
        <v>0</v>
      </c>
      <c r="F14" s="97">
        <f>ГОРЛЕС!L8/1000/6</f>
        <v>13</v>
      </c>
      <c r="G14" s="152">
        <f t="shared" si="0"/>
        <v>13</v>
      </c>
      <c r="H14" s="191">
        <v>0</v>
      </c>
      <c r="I14" s="153">
        <f t="shared" si="1"/>
        <v>13</v>
      </c>
    </row>
    <row r="15" spans="1:9" s="83" customFormat="1" ht="12" customHeight="1" x14ac:dyDescent="0.2">
      <c r="A15" s="241"/>
      <c r="B15" s="243"/>
      <c r="C15" s="85">
        <v>222</v>
      </c>
      <c r="D15" s="97">
        <v>0</v>
      </c>
      <c r="E15" s="177">
        <v>0</v>
      </c>
      <c r="F15" s="214">
        <f>ГОРЛЕС!L9/1000/6</f>
        <v>43.166666666666664</v>
      </c>
      <c r="G15" s="152">
        <f t="shared" si="0"/>
        <v>43.166666666666664</v>
      </c>
      <c r="H15" s="191">
        <v>0</v>
      </c>
      <c r="I15" s="153">
        <f t="shared" si="1"/>
        <v>43.166666666666664</v>
      </c>
    </row>
    <row r="16" spans="1:9" s="83" customFormat="1" ht="12" customHeight="1" x14ac:dyDescent="0.2">
      <c r="A16" s="241"/>
      <c r="B16" s="243"/>
      <c r="C16" s="85">
        <v>223</v>
      </c>
      <c r="D16" s="97">
        <v>0</v>
      </c>
      <c r="E16" s="177">
        <v>0</v>
      </c>
      <c r="F16" s="97">
        <f>(ГОРЛЕС!L11+ГОРЛЕС!L10+ГОРЛЕС!L12)/6/1000</f>
        <v>231.09333333333333</v>
      </c>
      <c r="G16" s="152">
        <f t="shared" si="0"/>
        <v>231.09333333333333</v>
      </c>
      <c r="H16" s="191">
        <f>(ГОРЛЕС!M10+ГОРЛЕС!M11)/6/1000</f>
        <v>107.44</v>
      </c>
      <c r="I16" s="153">
        <f t="shared" si="1"/>
        <v>338.5333333333333</v>
      </c>
    </row>
    <row r="17" spans="1:11" s="83" customFormat="1" ht="12" customHeight="1" x14ac:dyDescent="0.2">
      <c r="A17" s="241"/>
      <c r="B17" s="243"/>
      <c r="C17" s="85">
        <v>225</v>
      </c>
      <c r="D17" s="97">
        <v>0</v>
      </c>
      <c r="E17" s="177">
        <v>0</v>
      </c>
      <c r="F17" s="97">
        <f>(ГОРЛЕС!L13+ГОРЛЕС!L14)/6/1000</f>
        <v>178.33333333333334</v>
      </c>
      <c r="G17" s="152">
        <f t="shared" si="0"/>
        <v>178.33333333333334</v>
      </c>
      <c r="H17" s="191">
        <v>0</v>
      </c>
      <c r="I17" s="153">
        <f t="shared" si="1"/>
        <v>178.33333333333334</v>
      </c>
    </row>
    <row r="18" spans="1:11" s="83" customFormat="1" ht="12" customHeight="1" x14ac:dyDescent="0.2">
      <c r="A18" s="241"/>
      <c r="B18" s="243"/>
      <c r="C18" s="85">
        <v>226</v>
      </c>
      <c r="D18" s="97">
        <v>0</v>
      </c>
      <c r="E18" s="212">
        <f>1100/2</f>
        <v>550</v>
      </c>
      <c r="F18" s="97">
        <f>(ГОРЛЕС!L16+ГОРЛЕС!L17+ГОРЛЕС!L18+ГОРЛЕС!L19)/1000/6</f>
        <v>556.1968333333333</v>
      </c>
      <c r="G18" s="152">
        <f t="shared" si="0"/>
        <v>1106.1968333333334</v>
      </c>
      <c r="H18" s="191">
        <v>0</v>
      </c>
      <c r="I18" s="153">
        <f t="shared" si="1"/>
        <v>1106.1968333333334</v>
      </c>
    </row>
    <row r="19" spans="1:11" s="83" customFormat="1" ht="12" customHeight="1" x14ac:dyDescent="0.2">
      <c r="A19" s="241"/>
      <c r="B19" s="243"/>
      <c r="C19" s="85">
        <v>290</v>
      </c>
      <c r="D19" s="97">
        <v>0</v>
      </c>
      <c r="E19" s="177">
        <v>0</v>
      </c>
      <c r="F19" s="97">
        <v>0</v>
      </c>
      <c r="G19" s="152">
        <f t="shared" si="0"/>
        <v>0</v>
      </c>
      <c r="H19" s="191">
        <f>ГОРЛЕС!M23/1000/6</f>
        <v>196</v>
      </c>
      <c r="I19" s="153">
        <f t="shared" si="1"/>
        <v>196</v>
      </c>
    </row>
    <row r="20" spans="1:11" s="83" customFormat="1" ht="12" customHeight="1" x14ac:dyDescent="0.2">
      <c r="A20" s="241"/>
      <c r="B20" s="244"/>
      <c r="C20" s="85">
        <v>340</v>
      </c>
      <c r="D20" s="97">
        <v>0</v>
      </c>
      <c r="E20" s="212">
        <f>11+209+1+2.6+0.2+1.5+0.7+1.7+1+2.7+250/4+446.1/4-5</f>
        <v>400.42499999999995</v>
      </c>
      <c r="F20" s="97">
        <f>ГОРЛЕС!L22/6/1000</f>
        <v>23.550833333333333</v>
      </c>
      <c r="G20" s="152">
        <f t="shared" si="0"/>
        <v>423.9758333333333</v>
      </c>
      <c r="H20" s="191">
        <v>0</v>
      </c>
      <c r="I20" s="153">
        <f t="shared" si="1"/>
        <v>423.9758333333333</v>
      </c>
    </row>
    <row r="21" spans="1:11" s="83" customFormat="1" ht="12" customHeight="1" x14ac:dyDescent="0.2">
      <c r="A21" s="241">
        <v>2</v>
      </c>
      <c r="B21" s="250" t="s">
        <v>172</v>
      </c>
      <c r="C21" s="151">
        <v>900</v>
      </c>
      <c r="D21" s="152">
        <f>SUM(D22:D31)</f>
        <v>1200.4634555537</v>
      </c>
      <c r="E21" s="183">
        <f>SUM(E22:E31)</f>
        <v>199.42500000000001</v>
      </c>
      <c r="F21" s="152">
        <f>SUM(F22:F31)</f>
        <v>2844.7007055612003</v>
      </c>
      <c r="G21" s="152">
        <f>SUM(G22:G31)</f>
        <v>4244.5891611148991</v>
      </c>
      <c r="H21" s="190">
        <f>SUM(H22:H31)</f>
        <v>303.44</v>
      </c>
      <c r="I21" s="153">
        <f>G21+H21</f>
        <v>4548.0291611148987</v>
      </c>
    </row>
    <row r="22" spans="1:11" s="83" customFormat="1" ht="12" customHeight="1" x14ac:dyDescent="0.2">
      <c r="A22" s="241"/>
      <c r="B22" s="250"/>
      <c r="C22" s="85">
        <v>211</v>
      </c>
      <c r="D22" s="97">
        <f>'прил 1'!H24</f>
        <v>923.63947000000007</v>
      </c>
      <c r="E22" s="177">
        <v>0</v>
      </c>
      <c r="F22" s="97">
        <f>'прил 1'!H46</f>
        <v>1334.4307959999999</v>
      </c>
      <c r="G22" s="152">
        <f t="shared" ref="G22:G31" si="2">D22+E22+F22</f>
        <v>2258.0702659999997</v>
      </c>
      <c r="H22" s="191">
        <v>0</v>
      </c>
      <c r="I22" s="153">
        <f t="shared" ref="I22:I23" si="3">G22+H22</f>
        <v>2258.0702659999997</v>
      </c>
    </row>
    <row r="23" spans="1:11" s="83" customFormat="1" ht="12" customHeight="1" x14ac:dyDescent="0.2">
      <c r="A23" s="241"/>
      <c r="B23" s="250"/>
      <c r="C23" s="85">
        <v>213</v>
      </c>
      <c r="D23" s="97">
        <f>'прил 1'!H25</f>
        <v>276.82398555370003</v>
      </c>
      <c r="E23" s="177">
        <v>0</v>
      </c>
      <c r="F23" s="97">
        <f>'прил 1'!H47</f>
        <v>399.92890956119993</v>
      </c>
      <c r="G23" s="152">
        <f t="shared" si="2"/>
        <v>676.75289511489996</v>
      </c>
      <c r="H23" s="191">
        <v>0</v>
      </c>
      <c r="I23" s="153">
        <f t="shared" si="3"/>
        <v>676.75289511489996</v>
      </c>
    </row>
    <row r="24" spans="1:11" s="83" customFormat="1" ht="12" customHeight="1" x14ac:dyDescent="0.2">
      <c r="A24" s="241"/>
      <c r="B24" s="250"/>
      <c r="C24" s="85">
        <v>212</v>
      </c>
      <c r="D24" s="97">
        <v>0</v>
      </c>
      <c r="E24" s="177">
        <v>0</v>
      </c>
      <c r="F24" s="97">
        <f>F13</f>
        <v>65</v>
      </c>
      <c r="G24" s="152">
        <f t="shared" si="2"/>
        <v>65</v>
      </c>
      <c r="H24" s="191">
        <v>0</v>
      </c>
      <c r="I24" s="153">
        <f>G24+H24</f>
        <v>65</v>
      </c>
    </row>
    <row r="25" spans="1:11" s="83" customFormat="1" ht="12" customHeight="1" x14ac:dyDescent="0.2">
      <c r="A25" s="241"/>
      <c r="B25" s="250"/>
      <c r="C25" s="85">
        <v>221</v>
      </c>
      <c r="D25" s="97">
        <v>0</v>
      </c>
      <c r="E25" s="177">
        <v>0</v>
      </c>
      <c r="F25" s="97">
        <f t="shared" ref="F25:F31" si="4">F14</f>
        <v>13</v>
      </c>
      <c r="G25" s="152">
        <f t="shared" si="2"/>
        <v>13</v>
      </c>
      <c r="H25" s="191">
        <v>0</v>
      </c>
      <c r="I25" s="153">
        <f t="shared" ref="I25:I31" si="5">G25+H25</f>
        <v>13</v>
      </c>
    </row>
    <row r="26" spans="1:11" s="83" customFormat="1" ht="12" customHeight="1" x14ac:dyDescent="0.2">
      <c r="A26" s="241"/>
      <c r="B26" s="250"/>
      <c r="C26" s="85">
        <v>222</v>
      </c>
      <c r="D26" s="97">
        <v>0</v>
      </c>
      <c r="E26" s="177">
        <v>0</v>
      </c>
      <c r="F26" s="97">
        <f>F15</f>
        <v>43.166666666666664</v>
      </c>
      <c r="G26" s="152">
        <f t="shared" si="2"/>
        <v>43.166666666666664</v>
      </c>
      <c r="H26" s="191">
        <v>0</v>
      </c>
      <c r="I26" s="153">
        <f t="shared" si="5"/>
        <v>43.166666666666664</v>
      </c>
    </row>
    <row r="27" spans="1:11" s="83" customFormat="1" ht="12" customHeight="1" x14ac:dyDescent="0.2">
      <c r="A27" s="241"/>
      <c r="B27" s="250"/>
      <c r="C27" s="85">
        <v>223</v>
      </c>
      <c r="D27" s="97">
        <v>0</v>
      </c>
      <c r="E27" s="177">
        <v>0</v>
      </c>
      <c r="F27" s="97">
        <f t="shared" si="4"/>
        <v>231.09333333333333</v>
      </c>
      <c r="G27" s="152">
        <f t="shared" si="2"/>
        <v>231.09333333333333</v>
      </c>
      <c r="H27" s="191">
        <f>H16</f>
        <v>107.44</v>
      </c>
      <c r="I27" s="153">
        <f t="shared" si="5"/>
        <v>338.5333333333333</v>
      </c>
    </row>
    <row r="28" spans="1:11" s="83" customFormat="1" ht="12" customHeight="1" x14ac:dyDescent="0.2">
      <c r="A28" s="241"/>
      <c r="B28" s="250"/>
      <c r="C28" s="85">
        <v>225</v>
      </c>
      <c r="D28" s="97">
        <v>0</v>
      </c>
      <c r="E28" s="177">
        <v>0</v>
      </c>
      <c r="F28" s="97">
        <f t="shared" si="4"/>
        <v>178.33333333333334</v>
      </c>
      <c r="G28" s="152">
        <f t="shared" si="2"/>
        <v>178.33333333333334</v>
      </c>
      <c r="H28" s="191">
        <v>0</v>
      </c>
      <c r="I28" s="153">
        <f t="shared" si="5"/>
        <v>178.33333333333334</v>
      </c>
    </row>
    <row r="29" spans="1:11" s="83" customFormat="1" ht="12" customHeight="1" x14ac:dyDescent="0.2">
      <c r="A29" s="241"/>
      <c r="B29" s="250"/>
      <c r="C29" s="85">
        <v>226</v>
      </c>
      <c r="D29" s="97">
        <v>0</v>
      </c>
      <c r="E29" s="212">
        <f>7.3</f>
        <v>7.3</v>
      </c>
      <c r="F29" s="97">
        <f>F18</f>
        <v>556.1968333333333</v>
      </c>
      <c r="G29" s="152">
        <f t="shared" si="2"/>
        <v>563.49683333333326</v>
      </c>
      <c r="H29" s="191">
        <v>0</v>
      </c>
      <c r="I29" s="153">
        <f t="shared" si="5"/>
        <v>563.49683333333326</v>
      </c>
    </row>
    <row r="30" spans="1:11" s="83" customFormat="1" ht="12" customHeight="1" x14ac:dyDescent="0.2">
      <c r="A30" s="241"/>
      <c r="B30" s="250"/>
      <c r="C30" s="85">
        <v>290</v>
      </c>
      <c r="D30" s="97">
        <v>0</v>
      </c>
      <c r="E30" s="177">
        <v>0</v>
      </c>
      <c r="F30" s="97">
        <f t="shared" si="4"/>
        <v>0</v>
      </c>
      <c r="G30" s="152">
        <f t="shared" si="2"/>
        <v>0</v>
      </c>
      <c r="H30" s="191">
        <f>H19</f>
        <v>196</v>
      </c>
      <c r="I30" s="153">
        <f t="shared" si="5"/>
        <v>196</v>
      </c>
    </row>
    <row r="31" spans="1:11" s="83" customFormat="1" ht="12" customHeight="1" x14ac:dyDescent="0.2">
      <c r="A31" s="241"/>
      <c r="B31" s="250"/>
      <c r="C31" s="85">
        <v>340</v>
      </c>
      <c r="D31" s="97">
        <v>0</v>
      </c>
      <c r="E31" s="212">
        <f>11+1+2.6+0.2+0.6+2.7+250/4+446.1/4</f>
        <v>192.125</v>
      </c>
      <c r="F31" s="97">
        <f t="shared" si="4"/>
        <v>23.550833333333333</v>
      </c>
      <c r="G31" s="152">
        <f t="shared" si="2"/>
        <v>215.67583333333334</v>
      </c>
      <c r="H31" s="191">
        <v>0</v>
      </c>
      <c r="I31" s="153">
        <f t="shared" si="5"/>
        <v>215.67583333333334</v>
      </c>
    </row>
    <row r="32" spans="1:11" s="154" customFormat="1" ht="12" customHeight="1" x14ac:dyDescent="0.2">
      <c r="A32" s="252" t="s">
        <v>190</v>
      </c>
      <c r="B32" s="250" t="s">
        <v>192</v>
      </c>
      <c r="C32" s="194">
        <v>900</v>
      </c>
      <c r="D32" s="190">
        <f>SUM(D33:D42)</f>
        <v>2377.74225921785</v>
      </c>
      <c r="E32" s="186">
        <f>SUM(E33:E42)</f>
        <v>2058.75</v>
      </c>
      <c r="F32" s="190">
        <f t="shared" ref="F32:I32" si="6">SUM(F33:F42)</f>
        <v>9644.4431166835984</v>
      </c>
      <c r="G32" s="190">
        <f t="shared" si="6"/>
        <v>14172.773874784849</v>
      </c>
      <c r="H32" s="190">
        <f t="shared" si="6"/>
        <v>1213.76</v>
      </c>
      <c r="I32" s="193">
        <f t="shared" si="6"/>
        <v>15386.533874784849</v>
      </c>
      <c r="K32" s="155"/>
    </row>
    <row r="33" spans="1:11" s="154" customFormat="1" ht="12" customHeight="1" x14ac:dyDescent="0.2">
      <c r="A33" s="253"/>
      <c r="B33" s="250"/>
      <c r="C33" s="189">
        <v>211</v>
      </c>
      <c r="D33" s="191">
        <f>D44+D55+D66+D77</f>
        <v>1900.1013750000002</v>
      </c>
      <c r="E33" s="185">
        <f>E44+E55+E66+E77</f>
        <v>0</v>
      </c>
      <c r="F33" s="185">
        <f t="shared" ref="F33:H33" si="7">F44+F55+F66+F77</f>
        <v>4003.2923879999994</v>
      </c>
      <c r="G33" s="185">
        <f t="shared" si="7"/>
        <v>5903.393763</v>
      </c>
      <c r="H33" s="185">
        <f t="shared" si="7"/>
        <v>0</v>
      </c>
      <c r="I33" s="193">
        <f>I44+I55+I66+I77</f>
        <v>5903.393763</v>
      </c>
      <c r="J33" s="155"/>
      <c r="K33" s="155"/>
    </row>
    <row r="34" spans="1:11" s="154" customFormat="1" ht="12" customHeight="1" x14ac:dyDescent="0.2">
      <c r="A34" s="253"/>
      <c r="B34" s="250"/>
      <c r="C34" s="189">
        <v>213</v>
      </c>
      <c r="D34" s="191">
        <f t="shared" ref="D34:D42" si="8">D45+D56+D67</f>
        <v>477.64088421785004</v>
      </c>
      <c r="E34" s="185">
        <f t="shared" ref="E34:H42" si="9">E45+E56+E67+E78</f>
        <v>0</v>
      </c>
      <c r="F34" s="185">
        <f t="shared" si="9"/>
        <v>1199.7867286835997</v>
      </c>
      <c r="G34" s="185">
        <f t="shared" si="9"/>
        <v>1769.2661117848497</v>
      </c>
      <c r="H34" s="185">
        <f>H45+H56+H67+H78</f>
        <v>0</v>
      </c>
      <c r="I34" s="193">
        <f t="shared" ref="I34:I42" si="10">I45+I56+I67+I78</f>
        <v>1769.2661117848497</v>
      </c>
      <c r="J34" s="155"/>
      <c r="K34" s="155"/>
    </row>
    <row r="35" spans="1:11" s="154" customFormat="1" ht="12" customHeight="1" x14ac:dyDescent="0.2">
      <c r="A35" s="253"/>
      <c r="B35" s="250"/>
      <c r="C35" s="189">
        <v>212</v>
      </c>
      <c r="D35" s="191">
        <f t="shared" si="8"/>
        <v>0</v>
      </c>
      <c r="E35" s="185">
        <f t="shared" si="9"/>
        <v>0</v>
      </c>
      <c r="F35" s="185">
        <f t="shared" si="9"/>
        <v>260</v>
      </c>
      <c r="G35" s="185">
        <f t="shared" si="9"/>
        <v>260</v>
      </c>
      <c r="H35" s="185">
        <f t="shared" si="9"/>
        <v>0</v>
      </c>
      <c r="I35" s="193">
        <f t="shared" si="10"/>
        <v>260</v>
      </c>
      <c r="J35" s="155"/>
      <c r="K35" s="155"/>
    </row>
    <row r="36" spans="1:11" s="154" customFormat="1" ht="12" customHeight="1" x14ac:dyDescent="0.2">
      <c r="A36" s="253"/>
      <c r="B36" s="250"/>
      <c r="C36" s="189">
        <v>221</v>
      </c>
      <c r="D36" s="191">
        <f t="shared" si="8"/>
        <v>0</v>
      </c>
      <c r="E36" s="185">
        <f t="shared" si="9"/>
        <v>0</v>
      </c>
      <c r="F36" s="185">
        <f t="shared" si="9"/>
        <v>52</v>
      </c>
      <c r="G36" s="185">
        <f t="shared" si="9"/>
        <v>52</v>
      </c>
      <c r="H36" s="185">
        <f t="shared" si="9"/>
        <v>0</v>
      </c>
      <c r="I36" s="193">
        <f t="shared" si="10"/>
        <v>52</v>
      </c>
      <c r="K36" s="155"/>
    </row>
    <row r="37" spans="1:11" s="154" customFormat="1" ht="12" customHeight="1" x14ac:dyDescent="0.2">
      <c r="A37" s="253"/>
      <c r="B37" s="250"/>
      <c r="C37" s="189">
        <v>222</v>
      </c>
      <c r="D37" s="191">
        <f t="shared" si="8"/>
        <v>0</v>
      </c>
      <c r="E37" s="185">
        <f t="shared" si="9"/>
        <v>441</v>
      </c>
      <c r="F37" s="185">
        <f t="shared" si="9"/>
        <v>172.66666666666666</v>
      </c>
      <c r="G37" s="185">
        <f t="shared" si="9"/>
        <v>613.66666666666663</v>
      </c>
      <c r="H37" s="185">
        <f t="shared" si="9"/>
        <v>0</v>
      </c>
      <c r="I37" s="193">
        <f t="shared" si="10"/>
        <v>613.66666666666663</v>
      </c>
      <c r="K37" s="155"/>
    </row>
    <row r="38" spans="1:11" s="154" customFormat="1" ht="12" customHeight="1" x14ac:dyDescent="0.2">
      <c r="A38" s="253"/>
      <c r="B38" s="250"/>
      <c r="C38" s="189">
        <v>223</v>
      </c>
      <c r="D38" s="191">
        <f t="shared" si="8"/>
        <v>0</v>
      </c>
      <c r="E38" s="185">
        <f t="shared" si="9"/>
        <v>0</v>
      </c>
      <c r="F38" s="185">
        <f t="shared" si="9"/>
        <v>924.37333333333333</v>
      </c>
      <c r="G38" s="185">
        <f t="shared" si="9"/>
        <v>924.37333333333333</v>
      </c>
      <c r="H38" s="185">
        <f t="shared" si="9"/>
        <v>429.76</v>
      </c>
      <c r="I38" s="193">
        <f t="shared" si="10"/>
        <v>1354.1333333333332</v>
      </c>
      <c r="K38" s="155"/>
    </row>
    <row r="39" spans="1:11" s="154" customFormat="1" ht="12" customHeight="1" x14ac:dyDescent="0.2">
      <c r="A39" s="253"/>
      <c r="B39" s="250"/>
      <c r="C39" s="189">
        <v>225</v>
      </c>
      <c r="D39" s="191">
        <f t="shared" si="8"/>
        <v>0</v>
      </c>
      <c r="E39" s="185">
        <f t="shared" si="9"/>
        <v>0</v>
      </c>
      <c r="F39" s="185">
        <f t="shared" si="9"/>
        <v>713.33333333333337</v>
      </c>
      <c r="G39" s="185">
        <f t="shared" si="9"/>
        <v>713.33333333333337</v>
      </c>
      <c r="H39" s="185">
        <f t="shared" si="9"/>
        <v>0</v>
      </c>
      <c r="I39" s="193">
        <f t="shared" si="10"/>
        <v>713.33333333333337</v>
      </c>
      <c r="K39" s="155"/>
    </row>
    <row r="40" spans="1:11" s="154" customFormat="1" ht="12" customHeight="1" x14ac:dyDescent="0.2">
      <c r="A40" s="253"/>
      <c r="B40" s="250"/>
      <c r="C40" s="189">
        <v>226</v>
      </c>
      <c r="D40" s="191">
        <f t="shared" si="8"/>
        <v>0</v>
      </c>
      <c r="E40" s="185">
        <f t="shared" si="9"/>
        <v>985.5</v>
      </c>
      <c r="F40" s="185">
        <f t="shared" si="9"/>
        <v>2224.7873333333332</v>
      </c>
      <c r="G40" s="185">
        <f t="shared" si="9"/>
        <v>3210.2873333333337</v>
      </c>
      <c r="H40" s="185">
        <f t="shared" si="9"/>
        <v>0</v>
      </c>
      <c r="I40" s="193">
        <f t="shared" si="10"/>
        <v>3210.2873333333337</v>
      </c>
      <c r="K40" s="155"/>
    </row>
    <row r="41" spans="1:11" s="154" customFormat="1" ht="12" customHeight="1" x14ac:dyDescent="0.2">
      <c r="A41" s="253"/>
      <c r="B41" s="250"/>
      <c r="C41" s="189">
        <v>290</v>
      </c>
      <c r="D41" s="191">
        <f t="shared" si="8"/>
        <v>0</v>
      </c>
      <c r="E41" s="185">
        <f t="shared" si="9"/>
        <v>0</v>
      </c>
      <c r="F41" s="185">
        <f t="shared" si="9"/>
        <v>0</v>
      </c>
      <c r="G41" s="185">
        <f t="shared" si="9"/>
        <v>0</v>
      </c>
      <c r="H41" s="185">
        <f t="shared" si="9"/>
        <v>784</v>
      </c>
      <c r="I41" s="193">
        <f t="shared" si="10"/>
        <v>784</v>
      </c>
      <c r="K41" s="155"/>
    </row>
    <row r="42" spans="1:11" s="154" customFormat="1" ht="12" customHeight="1" x14ac:dyDescent="0.2">
      <c r="A42" s="253"/>
      <c r="B42" s="250"/>
      <c r="C42" s="189">
        <v>340</v>
      </c>
      <c r="D42" s="191">
        <f t="shared" si="8"/>
        <v>0</v>
      </c>
      <c r="E42" s="185">
        <f t="shared" si="9"/>
        <v>632.25</v>
      </c>
      <c r="F42" s="185">
        <f t="shared" si="9"/>
        <v>94.203333333333333</v>
      </c>
      <c r="G42" s="185">
        <f t="shared" si="9"/>
        <v>726.45333333333326</v>
      </c>
      <c r="H42" s="185">
        <f t="shared" si="9"/>
        <v>0</v>
      </c>
      <c r="I42" s="193">
        <f t="shared" si="10"/>
        <v>726.45333333333326</v>
      </c>
      <c r="K42" s="155"/>
    </row>
    <row r="43" spans="1:11" s="154" customFormat="1" ht="12" customHeight="1" x14ac:dyDescent="0.2">
      <c r="A43" s="253"/>
      <c r="B43" s="232" t="s">
        <v>186</v>
      </c>
      <c r="C43" s="151">
        <v>900</v>
      </c>
      <c r="D43" s="152">
        <f t="shared" ref="D43:I43" si="11">SUM(D44:D53)</f>
        <v>876.52860256765007</v>
      </c>
      <c r="E43" s="183">
        <f t="shared" si="11"/>
        <v>1793.425</v>
      </c>
      <c r="F43" s="152">
        <f t="shared" si="11"/>
        <v>2844.7007055612003</v>
      </c>
      <c r="G43" s="152">
        <f t="shared" si="11"/>
        <v>5514.6543081288501</v>
      </c>
      <c r="H43" s="190">
        <f t="shared" si="11"/>
        <v>303.44</v>
      </c>
      <c r="I43" s="153">
        <f t="shared" si="11"/>
        <v>5818.0943081288497</v>
      </c>
      <c r="K43" s="155"/>
    </row>
    <row r="44" spans="1:11" s="154" customFormat="1" ht="12" customHeight="1" x14ac:dyDescent="0.2">
      <c r="A44" s="253"/>
      <c r="B44" s="232"/>
      <c r="C44" s="85">
        <v>211</v>
      </c>
      <c r="D44" s="97">
        <f>'прил 1'!J24</f>
        <v>674.40321500000005</v>
      </c>
      <c r="E44" s="177">
        <v>0</v>
      </c>
      <c r="F44" s="97">
        <f>'прил 1'!J46</f>
        <v>1334.4307959999999</v>
      </c>
      <c r="G44" s="152">
        <f>D44+E44+F44</f>
        <v>2008.8340109999999</v>
      </c>
      <c r="H44" s="191">
        <v>0</v>
      </c>
      <c r="I44" s="153">
        <f>G44+H44</f>
        <v>2008.8340109999999</v>
      </c>
      <c r="J44" s="155"/>
      <c r="K44" s="155"/>
    </row>
    <row r="45" spans="1:11" s="154" customFormat="1" ht="12" customHeight="1" x14ac:dyDescent="0.2">
      <c r="A45" s="253"/>
      <c r="B45" s="232"/>
      <c r="C45" s="85">
        <v>213</v>
      </c>
      <c r="D45" s="97">
        <f>'прил 1'!J25</f>
        <v>202.12538756764999</v>
      </c>
      <c r="E45" s="177">
        <v>0</v>
      </c>
      <c r="F45" s="97">
        <f>'прил 1'!J47</f>
        <v>399.92890956119993</v>
      </c>
      <c r="G45" s="152">
        <f t="shared" ref="G45:G53" si="12">D45+E45+F45</f>
        <v>602.05429712884995</v>
      </c>
      <c r="H45" s="191">
        <v>0</v>
      </c>
      <c r="I45" s="153">
        <f t="shared" ref="I45:I53" si="13">G45+H45</f>
        <v>602.05429712884995</v>
      </c>
      <c r="J45" s="155"/>
      <c r="K45" s="155"/>
    </row>
    <row r="46" spans="1:11" s="154" customFormat="1" ht="12" customHeight="1" x14ac:dyDescent="0.2">
      <c r="A46" s="253"/>
      <c r="B46" s="232"/>
      <c r="C46" s="85">
        <v>212</v>
      </c>
      <c r="D46" s="97">
        <v>0</v>
      </c>
      <c r="E46" s="177">
        <v>0</v>
      </c>
      <c r="F46" s="97">
        <f t="shared" ref="F46:F53" si="14">F13</f>
        <v>65</v>
      </c>
      <c r="G46" s="152">
        <f t="shared" si="12"/>
        <v>65</v>
      </c>
      <c r="H46" s="191">
        <v>0</v>
      </c>
      <c r="I46" s="153">
        <f t="shared" si="13"/>
        <v>65</v>
      </c>
      <c r="J46" s="155"/>
      <c r="K46" s="155"/>
    </row>
    <row r="47" spans="1:11" s="154" customFormat="1" ht="12" customHeight="1" x14ac:dyDescent="0.2">
      <c r="A47" s="253"/>
      <c r="B47" s="232"/>
      <c r="C47" s="85">
        <v>221</v>
      </c>
      <c r="D47" s="97">
        <v>0</v>
      </c>
      <c r="E47" s="177">
        <v>0</v>
      </c>
      <c r="F47" s="97">
        <f t="shared" si="14"/>
        <v>13</v>
      </c>
      <c r="G47" s="152">
        <f t="shared" si="12"/>
        <v>13</v>
      </c>
      <c r="H47" s="191">
        <v>0</v>
      </c>
      <c r="I47" s="153">
        <f t="shared" si="13"/>
        <v>13</v>
      </c>
      <c r="K47" s="155"/>
    </row>
    <row r="48" spans="1:11" s="154" customFormat="1" ht="12" customHeight="1" x14ac:dyDescent="0.2">
      <c r="A48" s="253"/>
      <c r="B48" s="232"/>
      <c r="C48" s="85">
        <v>222</v>
      </c>
      <c r="D48" s="97">
        <v>0</v>
      </c>
      <c r="E48" s="212">
        <v>441</v>
      </c>
      <c r="F48" s="97">
        <f t="shared" si="14"/>
        <v>43.166666666666664</v>
      </c>
      <c r="G48" s="152">
        <f t="shared" si="12"/>
        <v>484.16666666666669</v>
      </c>
      <c r="H48" s="191">
        <v>0</v>
      </c>
      <c r="I48" s="153">
        <f t="shared" si="13"/>
        <v>484.16666666666669</v>
      </c>
      <c r="K48" s="155"/>
    </row>
    <row r="49" spans="1:11" s="154" customFormat="1" ht="12" customHeight="1" x14ac:dyDescent="0.2">
      <c r="A49" s="253"/>
      <c r="B49" s="232"/>
      <c r="C49" s="85">
        <v>223</v>
      </c>
      <c r="D49" s="97">
        <v>0</v>
      </c>
      <c r="E49" s="177">
        <v>0</v>
      </c>
      <c r="F49" s="97">
        <f t="shared" si="14"/>
        <v>231.09333333333333</v>
      </c>
      <c r="G49" s="152">
        <f t="shared" si="12"/>
        <v>231.09333333333333</v>
      </c>
      <c r="H49" s="191">
        <f>H27</f>
        <v>107.44</v>
      </c>
      <c r="I49" s="153">
        <f t="shared" si="13"/>
        <v>338.5333333333333</v>
      </c>
      <c r="K49" s="155"/>
    </row>
    <row r="50" spans="1:11" s="154" customFormat="1" ht="12" customHeight="1" x14ac:dyDescent="0.2">
      <c r="A50" s="253"/>
      <c r="B50" s="232"/>
      <c r="C50" s="85">
        <v>225</v>
      </c>
      <c r="D50" s="97">
        <v>0</v>
      </c>
      <c r="E50" s="177">
        <v>0</v>
      </c>
      <c r="F50" s="97">
        <f t="shared" si="14"/>
        <v>178.33333333333334</v>
      </c>
      <c r="G50" s="152">
        <f t="shared" si="12"/>
        <v>178.33333333333334</v>
      </c>
      <c r="H50" s="191">
        <v>0</v>
      </c>
      <c r="I50" s="153">
        <f t="shared" si="13"/>
        <v>178.33333333333334</v>
      </c>
      <c r="K50" s="155"/>
    </row>
    <row r="51" spans="1:11" s="154" customFormat="1" ht="12" customHeight="1" x14ac:dyDescent="0.2">
      <c r="A51" s="253"/>
      <c r="B51" s="232"/>
      <c r="C51" s="85">
        <v>226</v>
      </c>
      <c r="D51" s="97">
        <v>0</v>
      </c>
      <c r="E51" s="212">
        <f>191.5+206.5+550</f>
        <v>948</v>
      </c>
      <c r="F51" s="97">
        <f t="shared" si="14"/>
        <v>556.1968333333333</v>
      </c>
      <c r="G51" s="152">
        <f t="shared" si="12"/>
        <v>1504.1968333333334</v>
      </c>
      <c r="H51" s="191">
        <v>0</v>
      </c>
      <c r="I51" s="153">
        <f t="shared" si="13"/>
        <v>1504.1968333333334</v>
      </c>
      <c r="K51" s="155"/>
    </row>
    <row r="52" spans="1:11" s="154" customFormat="1" ht="12" customHeight="1" x14ac:dyDescent="0.2">
      <c r="A52" s="253"/>
      <c r="B52" s="232"/>
      <c r="C52" s="85">
        <v>290</v>
      </c>
      <c r="D52" s="97">
        <v>0</v>
      </c>
      <c r="E52" s="177">
        <v>0</v>
      </c>
      <c r="F52" s="97">
        <f t="shared" si="14"/>
        <v>0</v>
      </c>
      <c r="G52" s="152">
        <f t="shared" si="12"/>
        <v>0</v>
      </c>
      <c r="H52" s="191">
        <f>H30</f>
        <v>196</v>
      </c>
      <c r="I52" s="153">
        <f t="shared" si="13"/>
        <v>196</v>
      </c>
      <c r="K52" s="155"/>
    </row>
    <row r="53" spans="1:11" s="154" customFormat="1" ht="12" customHeight="1" x14ac:dyDescent="0.2">
      <c r="A53" s="253"/>
      <c r="B53" s="232"/>
      <c r="C53" s="85">
        <v>340</v>
      </c>
      <c r="D53" s="97">
        <v>0</v>
      </c>
      <c r="E53" s="212">
        <f>11+209+1+3.2+0.2+0.6+1.7+1+2.7+250/4+446.1/4</f>
        <v>404.42499999999995</v>
      </c>
      <c r="F53" s="97">
        <f t="shared" si="14"/>
        <v>23.550833333333333</v>
      </c>
      <c r="G53" s="152">
        <f t="shared" si="12"/>
        <v>427.9758333333333</v>
      </c>
      <c r="H53" s="191">
        <v>0</v>
      </c>
      <c r="I53" s="153">
        <f t="shared" si="13"/>
        <v>427.9758333333333</v>
      </c>
      <c r="K53" s="155"/>
    </row>
    <row r="54" spans="1:11" s="154" customFormat="1" ht="12" customHeight="1" x14ac:dyDescent="0.2">
      <c r="A54" s="253"/>
      <c r="B54" s="247" t="s">
        <v>189</v>
      </c>
      <c r="C54" s="151">
        <v>900</v>
      </c>
      <c r="D54" s="152">
        <f t="shared" ref="D54" si="15">SUM(D55:D64)</f>
        <v>796.52607776680009</v>
      </c>
      <c r="E54" s="183">
        <f t="shared" ref="E54:I54" si="16">SUM(E55:E64)</f>
        <v>33.700000000000003</v>
      </c>
      <c r="F54" s="152">
        <f t="shared" si="16"/>
        <v>2844.7007055612003</v>
      </c>
      <c r="G54" s="152">
        <f t="shared" si="16"/>
        <v>3674.9267833280001</v>
      </c>
      <c r="H54" s="190">
        <f t="shared" si="16"/>
        <v>303.44</v>
      </c>
      <c r="I54" s="153">
        <f t="shared" si="16"/>
        <v>3978.3667833280001</v>
      </c>
      <c r="K54" s="155"/>
    </row>
    <row r="55" spans="1:11" s="154" customFormat="1" ht="12" customHeight="1" x14ac:dyDescent="0.2">
      <c r="A55" s="253"/>
      <c r="B55" s="248"/>
      <c r="C55" s="85">
        <v>211</v>
      </c>
      <c r="D55" s="97">
        <f>'прил 1'!L24</f>
        <v>612.84908000000007</v>
      </c>
      <c r="E55" s="177">
        <v>0</v>
      </c>
      <c r="F55" s="97">
        <f>'прил 1'!L46</f>
        <v>1334.4307959999999</v>
      </c>
      <c r="G55" s="152">
        <f>D55+E55+F55</f>
        <v>1947.2798760000001</v>
      </c>
      <c r="H55" s="191">
        <v>0</v>
      </c>
      <c r="I55" s="153">
        <f>G55+H55</f>
        <v>1947.2798760000001</v>
      </c>
      <c r="K55" s="155"/>
    </row>
    <row r="56" spans="1:11" s="154" customFormat="1" ht="12" customHeight="1" x14ac:dyDescent="0.2">
      <c r="A56" s="253"/>
      <c r="B56" s="248"/>
      <c r="C56" s="85">
        <v>213</v>
      </c>
      <c r="D56" s="97">
        <f>'прил 1'!L25</f>
        <v>183.67699776680001</v>
      </c>
      <c r="E56" s="177">
        <v>0</v>
      </c>
      <c r="F56" s="97">
        <f>'прил 1'!L47</f>
        <v>399.92890956119993</v>
      </c>
      <c r="G56" s="152">
        <f t="shared" ref="G56:G64" si="17">D56+E56+F56</f>
        <v>583.60590732799994</v>
      </c>
      <c r="H56" s="191">
        <v>0</v>
      </c>
      <c r="I56" s="153">
        <f t="shared" ref="I56:I64" si="18">G56+H56</f>
        <v>583.60590732799994</v>
      </c>
      <c r="K56" s="155"/>
    </row>
    <row r="57" spans="1:11" s="154" customFormat="1" ht="12" customHeight="1" x14ac:dyDescent="0.2">
      <c r="A57" s="253"/>
      <c r="B57" s="248"/>
      <c r="C57" s="85">
        <v>212</v>
      </c>
      <c r="D57" s="97">
        <v>0</v>
      </c>
      <c r="E57" s="177">
        <f>E13</f>
        <v>0</v>
      </c>
      <c r="F57" s="97">
        <f>F13</f>
        <v>65</v>
      </c>
      <c r="G57" s="152">
        <f t="shared" si="17"/>
        <v>65</v>
      </c>
      <c r="H57" s="191">
        <v>0</v>
      </c>
      <c r="I57" s="153">
        <f t="shared" si="18"/>
        <v>65</v>
      </c>
      <c r="K57" s="155"/>
    </row>
    <row r="58" spans="1:11" s="154" customFormat="1" ht="12" customHeight="1" x14ac:dyDescent="0.2">
      <c r="A58" s="253"/>
      <c r="B58" s="248"/>
      <c r="C58" s="85">
        <v>221</v>
      </c>
      <c r="D58" s="97">
        <v>0</v>
      </c>
      <c r="E58" s="177">
        <f>E14</f>
        <v>0</v>
      </c>
      <c r="F58" s="97">
        <f>F14</f>
        <v>13</v>
      </c>
      <c r="G58" s="152">
        <f t="shared" si="17"/>
        <v>13</v>
      </c>
      <c r="H58" s="191">
        <v>0</v>
      </c>
      <c r="I58" s="153">
        <f t="shared" si="18"/>
        <v>13</v>
      </c>
      <c r="K58" s="155"/>
    </row>
    <row r="59" spans="1:11" s="154" customFormat="1" ht="12" customHeight="1" x14ac:dyDescent="0.2">
      <c r="A59" s="253"/>
      <c r="B59" s="248"/>
      <c r="C59" s="85">
        <v>222</v>
      </c>
      <c r="D59" s="97">
        <v>0</v>
      </c>
      <c r="E59" s="177">
        <f>E15</f>
        <v>0</v>
      </c>
      <c r="F59" s="97">
        <f>F26</f>
        <v>43.166666666666664</v>
      </c>
      <c r="G59" s="152">
        <f t="shared" si="17"/>
        <v>43.166666666666664</v>
      </c>
      <c r="H59" s="191">
        <v>0</v>
      </c>
      <c r="I59" s="153">
        <f t="shared" si="18"/>
        <v>43.166666666666664</v>
      </c>
      <c r="K59" s="155"/>
    </row>
    <row r="60" spans="1:11" s="154" customFormat="1" ht="12" customHeight="1" x14ac:dyDescent="0.2">
      <c r="A60" s="253"/>
      <c r="B60" s="248"/>
      <c r="C60" s="85">
        <v>223</v>
      </c>
      <c r="D60" s="97">
        <v>0</v>
      </c>
      <c r="E60" s="177">
        <f>E16</f>
        <v>0</v>
      </c>
      <c r="F60" s="97">
        <f>F16</f>
        <v>231.09333333333333</v>
      </c>
      <c r="G60" s="152">
        <f t="shared" si="17"/>
        <v>231.09333333333333</v>
      </c>
      <c r="H60" s="191">
        <f>H16</f>
        <v>107.44</v>
      </c>
      <c r="I60" s="153">
        <f t="shared" si="18"/>
        <v>338.5333333333333</v>
      </c>
      <c r="K60" s="155"/>
    </row>
    <row r="61" spans="1:11" s="154" customFormat="1" ht="12" customHeight="1" x14ac:dyDescent="0.2">
      <c r="A61" s="253"/>
      <c r="B61" s="248"/>
      <c r="C61" s="85">
        <v>225</v>
      </c>
      <c r="D61" s="97">
        <v>0</v>
      </c>
      <c r="E61" s="177">
        <f>E17</f>
        <v>0</v>
      </c>
      <c r="F61" s="97">
        <f>F17</f>
        <v>178.33333333333334</v>
      </c>
      <c r="G61" s="152">
        <f t="shared" si="17"/>
        <v>178.33333333333334</v>
      </c>
      <c r="H61" s="191">
        <v>0</v>
      </c>
      <c r="I61" s="153">
        <f t="shared" si="18"/>
        <v>178.33333333333334</v>
      </c>
      <c r="K61" s="155"/>
    </row>
    <row r="62" spans="1:11" s="154" customFormat="1" ht="12" customHeight="1" x14ac:dyDescent="0.2">
      <c r="A62" s="253"/>
      <c r="B62" s="248"/>
      <c r="C62" s="85">
        <v>226</v>
      </c>
      <c r="D62" s="97">
        <v>0</v>
      </c>
      <c r="E62" s="185">
        <v>0</v>
      </c>
      <c r="F62" s="97">
        <f>F18</f>
        <v>556.1968333333333</v>
      </c>
      <c r="G62" s="152">
        <f t="shared" si="17"/>
        <v>556.1968333333333</v>
      </c>
      <c r="H62" s="191">
        <v>0</v>
      </c>
      <c r="I62" s="153">
        <f t="shared" si="18"/>
        <v>556.1968333333333</v>
      </c>
      <c r="K62" s="155"/>
    </row>
    <row r="63" spans="1:11" s="154" customFormat="1" ht="12" customHeight="1" x14ac:dyDescent="0.2">
      <c r="A63" s="253"/>
      <c r="B63" s="248"/>
      <c r="C63" s="85">
        <v>290</v>
      </c>
      <c r="D63" s="97">
        <v>0</v>
      </c>
      <c r="E63" s="177">
        <f>E19</f>
        <v>0</v>
      </c>
      <c r="F63" s="97">
        <f>F19</f>
        <v>0</v>
      </c>
      <c r="G63" s="152">
        <f t="shared" si="17"/>
        <v>0</v>
      </c>
      <c r="H63" s="191">
        <f>H19</f>
        <v>196</v>
      </c>
      <c r="I63" s="153">
        <f t="shared" si="18"/>
        <v>196</v>
      </c>
      <c r="K63" s="155"/>
    </row>
    <row r="64" spans="1:11" s="154" customFormat="1" ht="12" customHeight="1" x14ac:dyDescent="0.2">
      <c r="A64" s="253"/>
      <c r="B64" s="231"/>
      <c r="C64" s="85">
        <v>340</v>
      </c>
      <c r="D64" s="97">
        <v>0</v>
      </c>
      <c r="E64" s="212">
        <f>17.7+11+5</f>
        <v>33.700000000000003</v>
      </c>
      <c r="F64" s="97">
        <f>F20</f>
        <v>23.550833333333333</v>
      </c>
      <c r="G64" s="152">
        <f t="shared" si="17"/>
        <v>57.250833333333333</v>
      </c>
      <c r="H64" s="191">
        <v>0</v>
      </c>
      <c r="I64" s="153">
        <f t="shared" si="18"/>
        <v>57.250833333333333</v>
      </c>
      <c r="K64" s="155"/>
    </row>
    <row r="65" spans="1:11" s="154" customFormat="1" ht="12" customHeight="1" x14ac:dyDescent="0.2">
      <c r="A65" s="253"/>
      <c r="B65" s="247" t="s">
        <v>195</v>
      </c>
      <c r="C65" s="151">
        <v>900</v>
      </c>
      <c r="D65" s="152">
        <f t="shared" ref="D65" si="19">SUM(D66:D75)</f>
        <v>398.26303888340004</v>
      </c>
      <c r="E65" s="183">
        <f t="shared" ref="E65:I65" si="20">SUM(E66:E75)</f>
        <v>115.7625</v>
      </c>
      <c r="F65" s="152">
        <f t="shared" si="20"/>
        <v>1977.5208527805999</v>
      </c>
      <c r="G65" s="152">
        <f t="shared" si="20"/>
        <v>2491.5463916640001</v>
      </c>
      <c r="H65" s="190">
        <f t="shared" si="20"/>
        <v>303.44</v>
      </c>
      <c r="I65" s="153">
        <f t="shared" si="20"/>
        <v>2794.9863916640002</v>
      </c>
      <c r="K65" s="155"/>
    </row>
    <row r="66" spans="1:11" s="154" customFormat="1" ht="12" customHeight="1" x14ac:dyDescent="0.2">
      <c r="A66" s="253"/>
      <c r="B66" s="248"/>
      <c r="C66" s="85">
        <v>211</v>
      </c>
      <c r="D66" s="97">
        <f>'прил 1'!N24</f>
        <v>306.42454000000004</v>
      </c>
      <c r="E66" s="177">
        <v>0</v>
      </c>
      <c r="F66" s="97">
        <f>'прил 1'!N46</f>
        <v>667.21539799999994</v>
      </c>
      <c r="G66" s="152">
        <f>D66+E66+F66</f>
        <v>973.63993800000003</v>
      </c>
      <c r="H66" s="191">
        <v>0</v>
      </c>
      <c r="I66" s="153">
        <f>G66+H66</f>
        <v>973.63993800000003</v>
      </c>
      <c r="K66" s="155"/>
    </row>
    <row r="67" spans="1:11" s="154" customFormat="1" ht="12" customHeight="1" x14ac:dyDescent="0.2">
      <c r="A67" s="253"/>
      <c r="B67" s="248"/>
      <c r="C67" s="85">
        <v>213</v>
      </c>
      <c r="D67" s="97">
        <f>'прил 1'!N25</f>
        <v>91.838498883400007</v>
      </c>
      <c r="E67" s="177">
        <v>0</v>
      </c>
      <c r="F67" s="97">
        <f>'прил 1'!N47</f>
        <v>199.96445478059997</v>
      </c>
      <c r="G67" s="152">
        <f t="shared" ref="G67:G75" si="21">D67+E67+F67</f>
        <v>291.80295366399997</v>
      </c>
      <c r="H67" s="191">
        <v>0</v>
      </c>
      <c r="I67" s="153">
        <f t="shared" ref="I67:I75" si="22">G67+H67</f>
        <v>291.80295366399997</v>
      </c>
      <c r="K67" s="155"/>
    </row>
    <row r="68" spans="1:11" s="154" customFormat="1" ht="12" customHeight="1" x14ac:dyDescent="0.2">
      <c r="A68" s="253"/>
      <c r="B68" s="248"/>
      <c r="C68" s="85">
        <v>212</v>
      </c>
      <c r="D68" s="97">
        <v>0</v>
      </c>
      <c r="E68" s="177">
        <f>E24</f>
        <v>0</v>
      </c>
      <c r="F68" s="97">
        <f>F13</f>
        <v>65</v>
      </c>
      <c r="G68" s="152">
        <f t="shared" si="21"/>
        <v>65</v>
      </c>
      <c r="H68" s="191">
        <v>0</v>
      </c>
      <c r="I68" s="153">
        <f t="shared" si="22"/>
        <v>65</v>
      </c>
      <c r="K68" s="155"/>
    </row>
    <row r="69" spans="1:11" s="154" customFormat="1" ht="12" customHeight="1" x14ac:dyDescent="0.2">
      <c r="A69" s="253"/>
      <c r="B69" s="248"/>
      <c r="C69" s="85">
        <v>221</v>
      </c>
      <c r="D69" s="97">
        <v>0</v>
      </c>
      <c r="E69" s="177">
        <f t="shared" ref="E69" si="23">E25</f>
        <v>0</v>
      </c>
      <c r="F69" s="97">
        <f>F14</f>
        <v>13</v>
      </c>
      <c r="G69" s="152">
        <f t="shared" si="21"/>
        <v>13</v>
      </c>
      <c r="H69" s="191">
        <v>0</v>
      </c>
      <c r="I69" s="153">
        <f t="shared" si="22"/>
        <v>13</v>
      </c>
      <c r="K69" s="155"/>
    </row>
    <row r="70" spans="1:11" s="154" customFormat="1" ht="12" customHeight="1" x14ac:dyDescent="0.2">
      <c r="A70" s="253"/>
      <c r="B70" s="248"/>
      <c r="C70" s="85">
        <v>222</v>
      </c>
      <c r="D70" s="97">
        <v>0</v>
      </c>
      <c r="E70" s="177">
        <f t="shared" ref="E70" si="24">E26</f>
        <v>0</v>
      </c>
      <c r="F70" s="97">
        <f>F26</f>
        <v>43.166666666666664</v>
      </c>
      <c r="G70" s="152">
        <f t="shared" si="21"/>
        <v>43.166666666666664</v>
      </c>
      <c r="H70" s="191">
        <v>0</v>
      </c>
      <c r="I70" s="153">
        <f t="shared" si="22"/>
        <v>43.166666666666664</v>
      </c>
      <c r="K70" s="155"/>
    </row>
    <row r="71" spans="1:11" s="154" customFormat="1" ht="12" customHeight="1" x14ac:dyDescent="0.2">
      <c r="A71" s="253"/>
      <c r="B71" s="248"/>
      <c r="C71" s="85">
        <v>223</v>
      </c>
      <c r="D71" s="97">
        <v>0</v>
      </c>
      <c r="E71" s="177">
        <f t="shared" ref="E71" si="25">E27</f>
        <v>0</v>
      </c>
      <c r="F71" s="97">
        <f>F16</f>
        <v>231.09333333333333</v>
      </c>
      <c r="G71" s="152">
        <f t="shared" si="21"/>
        <v>231.09333333333333</v>
      </c>
      <c r="H71" s="191">
        <f>H16</f>
        <v>107.44</v>
      </c>
      <c r="I71" s="153">
        <f t="shared" si="22"/>
        <v>338.5333333333333</v>
      </c>
      <c r="K71" s="155"/>
    </row>
    <row r="72" spans="1:11" s="154" customFormat="1" ht="12" customHeight="1" x14ac:dyDescent="0.2">
      <c r="A72" s="253"/>
      <c r="B72" s="248"/>
      <c r="C72" s="85">
        <v>225</v>
      </c>
      <c r="D72" s="97">
        <v>0</v>
      </c>
      <c r="E72" s="177">
        <f t="shared" ref="E72" si="26">E28</f>
        <v>0</v>
      </c>
      <c r="F72" s="97">
        <f>F17</f>
        <v>178.33333333333334</v>
      </c>
      <c r="G72" s="152">
        <f t="shared" si="21"/>
        <v>178.33333333333334</v>
      </c>
      <c r="H72" s="191">
        <v>0</v>
      </c>
      <c r="I72" s="153">
        <f t="shared" si="22"/>
        <v>178.33333333333334</v>
      </c>
      <c r="K72" s="155"/>
    </row>
    <row r="73" spans="1:11" s="154" customFormat="1" ht="12" customHeight="1" x14ac:dyDescent="0.2">
      <c r="A73" s="253"/>
      <c r="B73" s="248"/>
      <c r="C73" s="85">
        <v>226</v>
      </c>
      <c r="D73" s="97">
        <v>0</v>
      </c>
      <c r="E73" s="212">
        <f>37.5/2</f>
        <v>18.75</v>
      </c>
      <c r="F73" s="97">
        <f>F18</f>
        <v>556.1968333333333</v>
      </c>
      <c r="G73" s="152">
        <f t="shared" si="21"/>
        <v>574.9468333333333</v>
      </c>
      <c r="H73" s="191">
        <v>0</v>
      </c>
      <c r="I73" s="153">
        <f t="shared" si="22"/>
        <v>574.9468333333333</v>
      </c>
      <c r="K73" s="155"/>
    </row>
    <row r="74" spans="1:11" s="154" customFormat="1" ht="12" customHeight="1" x14ac:dyDescent="0.2">
      <c r="A74" s="253"/>
      <c r="B74" s="248"/>
      <c r="C74" s="85">
        <v>290</v>
      </c>
      <c r="D74" s="97">
        <v>0</v>
      </c>
      <c r="E74" s="177">
        <f t="shared" ref="E74" si="27">E30</f>
        <v>0</v>
      </c>
      <c r="F74" s="97">
        <f>F19</f>
        <v>0</v>
      </c>
      <c r="G74" s="152">
        <f t="shared" si="21"/>
        <v>0</v>
      </c>
      <c r="H74" s="191">
        <f>H19</f>
        <v>196</v>
      </c>
      <c r="I74" s="153">
        <f t="shared" si="22"/>
        <v>196</v>
      </c>
      <c r="K74" s="155"/>
    </row>
    <row r="75" spans="1:11" s="154" customFormat="1" ht="12" customHeight="1" x14ac:dyDescent="0.2">
      <c r="A75" s="253"/>
      <c r="B75" s="231"/>
      <c r="C75" s="85">
        <v>340</v>
      </c>
      <c r="D75" s="97">
        <v>0</v>
      </c>
      <c r="E75" s="212">
        <f>5.5+1+0.2+0.6+2.7+250/4/2+446.1/4/2</f>
        <v>97.012500000000003</v>
      </c>
      <c r="F75" s="97">
        <f>F20</f>
        <v>23.550833333333333</v>
      </c>
      <c r="G75" s="152">
        <f t="shared" si="21"/>
        <v>120.56333333333333</v>
      </c>
      <c r="H75" s="191">
        <v>0</v>
      </c>
      <c r="I75" s="153">
        <f t="shared" si="22"/>
        <v>120.56333333333333</v>
      </c>
      <c r="K75" s="155"/>
    </row>
    <row r="76" spans="1:11" s="154" customFormat="1" ht="12" customHeight="1" x14ac:dyDescent="0.2">
      <c r="A76" s="253"/>
      <c r="B76" s="247" t="s">
        <v>194</v>
      </c>
      <c r="C76" s="151">
        <v>900</v>
      </c>
      <c r="D76" s="152">
        <f t="shared" ref="D76" si="28">SUM(D77:D86)</f>
        <v>398.26303888340004</v>
      </c>
      <c r="E76" s="183">
        <f t="shared" ref="E76:I76" si="29">SUM(E77:E86)</f>
        <v>115.86250000000001</v>
      </c>
      <c r="F76" s="152">
        <f t="shared" si="29"/>
        <v>1977.5208527805999</v>
      </c>
      <c r="G76" s="152">
        <f t="shared" si="29"/>
        <v>2491.646391664</v>
      </c>
      <c r="H76" s="190">
        <f t="shared" si="29"/>
        <v>303.44</v>
      </c>
      <c r="I76" s="153">
        <f t="shared" si="29"/>
        <v>2795.0863916640001</v>
      </c>
      <c r="K76" s="155"/>
    </row>
    <row r="77" spans="1:11" s="154" customFormat="1" ht="12" customHeight="1" x14ac:dyDescent="0.2">
      <c r="A77" s="253"/>
      <c r="B77" s="248"/>
      <c r="C77" s="85">
        <v>211</v>
      </c>
      <c r="D77" s="97">
        <f>'прил 1'!P24</f>
        <v>306.42454000000004</v>
      </c>
      <c r="E77" s="177">
        <v>0</v>
      </c>
      <c r="F77" s="97">
        <f>'прил 1'!P46</f>
        <v>667.21539799999994</v>
      </c>
      <c r="G77" s="152">
        <f>D77+E77+F77</f>
        <v>973.63993800000003</v>
      </c>
      <c r="H77" s="191">
        <v>0</v>
      </c>
      <c r="I77" s="153">
        <f>G77+H77</f>
        <v>973.63993800000003</v>
      </c>
      <c r="K77" s="155"/>
    </row>
    <row r="78" spans="1:11" s="154" customFormat="1" ht="12" customHeight="1" x14ac:dyDescent="0.2">
      <c r="A78" s="253"/>
      <c r="B78" s="248"/>
      <c r="C78" s="85">
        <v>213</v>
      </c>
      <c r="D78" s="97">
        <f>'прил 1'!P25</f>
        <v>91.838498883400007</v>
      </c>
      <c r="E78" s="177">
        <v>0</v>
      </c>
      <c r="F78" s="97">
        <f>'прил 1'!P47</f>
        <v>199.96445478059997</v>
      </c>
      <c r="G78" s="152">
        <f>D78+E78+F78</f>
        <v>291.80295366399997</v>
      </c>
      <c r="H78" s="191">
        <v>0</v>
      </c>
      <c r="I78" s="153">
        <f t="shared" ref="I78:I86" si="30">G78+H78</f>
        <v>291.80295366399997</v>
      </c>
      <c r="K78" s="155"/>
    </row>
    <row r="79" spans="1:11" s="154" customFormat="1" ht="12" customHeight="1" x14ac:dyDescent="0.2">
      <c r="A79" s="253"/>
      <c r="B79" s="248"/>
      <c r="C79" s="85">
        <v>212</v>
      </c>
      <c r="D79" s="97">
        <v>0</v>
      </c>
      <c r="E79" s="177">
        <v>0</v>
      </c>
      <c r="F79" s="97">
        <f t="shared" ref="F79:F86" si="31">F13</f>
        <v>65</v>
      </c>
      <c r="G79" s="152">
        <f t="shared" ref="G79:G86" si="32">D79+E79+F79</f>
        <v>65</v>
      </c>
      <c r="H79" s="191">
        <v>0</v>
      </c>
      <c r="I79" s="153">
        <f t="shared" si="30"/>
        <v>65</v>
      </c>
      <c r="K79" s="155"/>
    </row>
    <row r="80" spans="1:11" s="154" customFormat="1" ht="12" customHeight="1" x14ac:dyDescent="0.2">
      <c r="A80" s="253"/>
      <c r="B80" s="248"/>
      <c r="C80" s="85">
        <v>221</v>
      </c>
      <c r="D80" s="97">
        <v>0</v>
      </c>
      <c r="E80" s="177">
        <v>0</v>
      </c>
      <c r="F80" s="97">
        <f t="shared" si="31"/>
        <v>13</v>
      </c>
      <c r="G80" s="152">
        <f t="shared" si="32"/>
        <v>13</v>
      </c>
      <c r="H80" s="191">
        <v>0</v>
      </c>
      <c r="I80" s="153">
        <f t="shared" si="30"/>
        <v>13</v>
      </c>
      <c r="K80" s="155"/>
    </row>
    <row r="81" spans="1:11" s="154" customFormat="1" ht="12" customHeight="1" x14ac:dyDescent="0.2">
      <c r="A81" s="253"/>
      <c r="B81" s="248"/>
      <c r="C81" s="85">
        <v>222</v>
      </c>
      <c r="D81" s="97">
        <v>0</v>
      </c>
      <c r="E81" s="177">
        <v>0</v>
      </c>
      <c r="F81" s="97">
        <f t="shared" si="31"/>
        <v>43.166666666666664</v>
      </c>
      <c r="G81" s="152">
        <f t="shared" si="32"/>
        <v>43.166666666666664</v>
      </c>
      <c r="H81" s="191">
        <v>0</v>
      </c>
      <c r="I81" s="153">
        <f t="shared" si="30"/>
        <v>43.166666666666664</v>
      </c>
      <c r="K81" s="155"/>
    </row>
    <row r="82" spans="1:11" s="154" customFormat="1" ht="12" customHeight="1" x14ac:dyDescent="0.2">
      <c r="A82" s="253"/>
      <c r="B82" s="248"/>
      <c r="C82" s="85">
        <v>223</v>
      </c>
      <c r="D82" s="97">
        <v>0</v>
      </c>
      <c r="E82" s="177">
        <v>0</v>
      </c>
      <c r="F82" s="97">
        <f t="shared" si="31"/>
        <v>231.09333333333333</v>
      </c>
      <c r="G82" s="152">
        <f t="shared" si="32"/>
        <v>231.09333333333333</v>
      </c>
      <c r="H82" s="191">
        <f>H27</f>
        <v>107.44</v>
      </c>
      <c r="I82" s="153">
        <f t="shared" si="30"/>
        <v>338.5333333333333</v>
      </c>
      <c r="K82" s="155"/>
    </row>
    <row r="83" spans="1:11" s="154" customFormat="1" ht="12" customHeight="1" x14ac:dyDescent="0.2">
      <c r="A83" s="253"/>
      <c r="B83" s="248"/>
      <c r="C83" s="85">
        <v>225</v>
      </c>
      <c r="D83" s="97">
        <v>0</v>
      </c>
      <c r="E83" s="177">
        <v>0</v>
      </c>
      <c r="F83" s="97">
        <f t="shared" si="31"/>
        <v>178.33333333333334</v>
      </c>
      <c r="G83" s="152">
        <f t="shared" si="32"/>
        <v>178.33333333333334</v>
      </c>
      <c r="H83" s="191">
        <v>0</v>
      </c>
      <c r="I83" s="153">
        <f t="shared" si="30"/>
        <v>178.33333333333334</v>
      </c>
      <c r="K83" s="155"/>
    </row>
    <row r="84" spans="1:11" s="154" customFormat="1" ht="12" customHeight="1" x14ac:dyDescent="0.2">
      <c r="A84" s="253"/>
      <c r="B84" s="248"/>
      <c r="C84" s="85">
        <v>226</v>
      </c>
      <c r="D84" s="97">
        <v>0</v>
      </c>
      <c r="E84" s="212">
        <f>37.5/2</f>
        <v>18.75</v>
      </c>
      <c r="F84" s="97">
        <f t="shared" si="31"/>
        <v>556.1968333333333</v>
      </c>
      <c r="G84" s="152">
        <f t="shared" si="32"/>
        <v>574.9468333333333</v>
      </c>
      <c r="H84" s="191">
        <v>0</v>
      </c>
      <c r="I84" s="153">
        <f t="shared" si="30"/>
        <v>574.9468333333333</v>
      </c>
      <c r="K84" s="155"/>
    </row>
    <row r="85" spans="1:11" s="154" customFormat="1" ht="12" customHeight="1" x14ac:dyDescent="0.2">
      <c r="A85" s="253"/>
      <c r="B85" s="248"/>
      <c r="C85" s="85">
        <v>290</v>
      </c>
      <c r="D85" s="97">
        <v>0</v>
      </c>
      <c r="E85" s="177">
        <v>0</v>
      </c>
      <c r="F85" s="97">
        <f t="shared" si="31"/>
        <v>0</v>
      </c>
      <c r="G85" s="152">
        <f t="shared" si="32"/>
        <v>0</v>
      </c>
      <c r="H85" s="191">
        <f>H30</f>
        <v>196</v>
      </c>
      <c r="I85" s="153">
        <f t="shared" si="30"/>
        <v>196</v>
      </c>
      <c r="K85" s="155"/>
    </row>
    <row r="86" spans="1:11" s="154" customFormat="1" ht="12" customHeight="1" x14ac:dyDescent="0.2">
      <c r="A86" s="254"/>
      <c r="B86" s="231"/>
      <c r="C86" s="85">
        <v>340</v>
      </c>
      <c r="D86" s="97">
        <v>0</v>
      </c>
      <c r="E86" s="212">
        <f>5.5+1+0.2+0.6+2.8+250/4/2+446.1/4/2</f>
        <v>97.112500000000011</v>
      </c>
      <c r="F86" s="97">
        <f t="shared" si="31"/>
        <v>23.550833333333333</v>
      </c>
      <c r="G86" s="152">
        <f t="shared" si="32"/>
        <v>120.66333333333334</v>
      </c>
      <c r="H86" s="191">
        <v>0</v>
      </c>
      <c r="I86" s="153">
        <f t="shared" si="30"/>
        <v>120.66333333333334</v>
      </c>
      <c r="K86" s="155"/>
    </row>
    <row r="87" spans="1:11" s="154" customFormat="1" ht="12" customHeight="1" x14ac:dyDescent="0.2">
      <c r="A87" s="241">
        <v>4</v>
      </c>
      <c r="B87" s="250" t="s">
        <v>143</v>
      </c>
      <c r="C87" s="151">
        <v>900</v>
      </c>
      <c r="D87" s="152">
        <f>SUM(D88:D97)</f>
        <v>5214.4963326542002</v>
      </c>
      <c r="E87" s="183">
        <f>SUM(E88:E97)</f>
        <v>3208.6</v>
      </c>
      <c r="F87" s="152">
        <f>SUM(F88:F97)+0.1</f>
        <v>15333.944527806001</v>
      </c>
      <c r="G87" s="152">
        <f>SUM(G88:G97)+0.1</f>
        <v>23757.040860460198</v>
      </c>
      <c r="H87" s="190">
        <f>SUM(H88:H97)</f>
        <v>1820.6000000000001</v>
      </c>
      <c r="I87" s="193">
        <f>SUM(I88:I97)</f>
        <v>25577.580860460199</v>
      </c>
      <c r="J87" s="155"/>
    </row>
    <row r="88" spans="1:11" s="154" customFormat="1" ht="12" customHeight="1" x14ac:dyDescent="0.2">
      <c r="A88" s="241"/>
      <c r="B88" s="250"/>
      <c r="C88" s="85">
        <v>211</v>
      </c>
      <c r="D88" s="152">
        <f t="shared" ref="D88:I88" si="33">D11+D22+D44+D55+D66+D77</f>
        <v>4012.0460199999998</v>
      </c>
      <c r="E88" s="183">
        <f t="shared" si="33"/>
        <v>0</v>
      </c>
      <c r="F88" s="152">
        <f t="shared" si="33"/>
        <v>6672.15398</v>
      </c>
      <c r="G88" s="152">
        <f t="shared" si="33"/>
        <v>10684.2</v>
      </c>
      <c r="H88" s="190">
        <f t="shared" si="33"/>
        <v>0</v>
      </c>
      <c r="I88" s="193">
        <f t="shared" si="33"/>
        <v>10684.2</v>
      </c>
      <c r="J88" s="155"/>
      <c r="K88" s="155"/>
    </row>
    <row r="89" spans="1:11" s="154" customFormat="1" ht="12" customHeight="1" x14ac:dyDescent="0.2">
      <c r="A89" s="241"/>
      <c r="B89" s="250"/>
      <c r="C89" s="85">
        <v>213</v>
      </c>
      <c r="D89" s="152">
        <f>D12+D23+D45+D56+D67+D78</f>
        <v>1202.4503126541999</v>
      </c>
      <c r="E89" s="183">
        <f t="shared" ref="E89:I97" si="34">E12+E23+E45+E56+E67+E78</f>
        <v>0</v>
      </c>
      <c r="F89" s="152">
        <f t="shared" si="34"/>
        <v>1999.6445478059995</v>
      </c>
      <c r="G89" s="152">
        <f t="shared" si="34"/>
        <v>3202.0948604601999</v>
      </c>
      <c r="H89" s="190">
        <f t="shared" si="34"/>
        <v>0</v>
      </c>
      <c r="I89" s="193">
        <f t="shared" si="34"/>
        <v>3202.0948604601999</v>
      </c>
      <c r="J89" s="155"/>
      <c r="K89" s="155"/>
    </row>
    <row r="90" spans="1:11" s="154" customFormat="1" ht="12" customHeight="1" x14ac:dyDescent="0.2">
      <c r="A90" s="241"/>
      <c r="B90" s="250"/>
      <c r="C90" s="85">
        <v>212</v>
      </c>
      <c r="D90" s="152">
        <f t="shared" ref="D90:D97" si="35">D13+D24+D46+D57+D68+D79</f>
        <v>0</v>
      </c>
      <c r="E90" s="183">
        <f t="shared" si="34"/>
        <v>0</v>
      </c>
      <c r="F90" s="152">
        <f t="shared" si="34"/>
        <v>390</v>
      </c>
      <c r="G90" s="152">
        <f t="shared" si="34"/>
        <v>390</v>
      </c>
      <c r="H90" s="190">
        <f t="shared" si="34"/>
        <v>0</v>
      </c>
      <c r="I90" s="193">
        <f t="shared" si="34"/>
        <v>390</v>
      </c>
      <c r="J90" s="155"/>
      <c r="K90" s="155"/>
    </row>
    <row r="91" spans="1:11" s="154" customFormat="1" ht="12" customHeight="1" x14ac:dyDescent="0.2">
      <c r="A91" s="241"/>
      <c r="B91" s="250"/>
      <c r="C91" s="85">
        <v>221</v>
      </c>
      <c r="D91" s="152">
        <f t="shared" si="35"/>
        <v>0</v>
      </c>
      <c r="E91" s="183">
        <f t="shared" si="34"/>
        <v>0</v>
      </c>
      <c r="F91" s="152">
        <f t="shared" si="34"/>
        <v>78</v>
      </c>
      <c r="G91" s="152">
        <f t="shared" si="34"/>
        <v>78</v>
      </c>
      <c r="H91" s="190">
        <f t="shared" si="34"/>
        <v>0</v>
      </c>
      <c r="I91" s="193">
        <f t="shared" si="34"/>
        <v>78</v>
      </c>
      <c r="J91" s="155"/>
      <c r="K91" s="155"/>
    </row>
    <row r="92" spans="1:11" s="154" customFormat="1" ht="12" customHeight="1" x14ac:dyDescent="0.2">
      <c r="A92" s="241"/>
      <c r="B92" s="250"/>
      <c r="C92" s="85">
        <v>222</v>
      </c>
      <c r="D92" s="152">
        <f t="shared" si="35"/>
        <v>0</v>
      </c>
      <c r="E92" s="183">
        <f t="shared" si="34"/>
        <v>441</v>
      </c>
      <c r="F92" s="152">
        <f t="shared" si="34"/>
        <v>259</v>
      </c>
      <c r="G92" s="152">
        <f t="shared" si="34"/>
        <v>699.99999999999989</v>
      </c>
      <c r="H92" s="190">
        <f t="shared" si="34"/>
        <v>0</v>
      </c>
      <c r="I92" s="193">
        <f t="shared" si="34"/>
        <v>699.99999999999989</v>
      </c>
      <c r="J92" s="155"/>
      <c r="K92" s="155"/>
    </row>
    <row r="93" spans="1:11" s="154" customFormat="1" ht="12" customHeight="1" x14ac:dyDescent="0.2">
      <c r="A93" s="241"/>
      <c r="B93" s="250"/>
      <c r="C93" s="85">
        <v>223</v>
      </c>
      <c r="D93" s="152">
        <f t="shared" si="35"/>
        <v>0</v>
      </c>
      <c r="E93" s="183">
        <f t="shared" si="34"/>
        <v>0</v>
      </c>
      <c r="F93" s="152">
        <f t="shared" si="34"/>
        <v>1386.56</v>
      </c>
      <c r="G93" s="152">
        <f t="shared" si="34"/>
        <v>1386.56</v>
      </c>
      <c r="H93" s="190">
        <f>H16+H27+H49+H60+H71+H82-0.04</f>
        <v>644.60000000000014</v>
      </c>
      <c r="I93" s="193">
        <f t="shared" si="34"/>
        <v>2031.1999999999998</v>
      </c>
      <c r="J93" s="155"/>
      <c r="K93" s="155"/>
    </row>
    <row r="94" spans="1:11" s="154" customFormat="1" ht="12" customHeight="1" x14ac:dyDescent="0.2">
      <c r="A94" s="241"/>
      <c r="B94" s="250"/>
      <c r="C94" s="85">
        <v>225</v>
      </c>
      <c r="D94" s="152">
        <f t="shared" si="35"/>
        <v>0</v>
      </c>
      <c r="E94" s="183">
        <f t="shared" si="34"/>
        <v>0</v>
      </c>
      <c r="F94" s="152">
        <f t="shared" si="34"/>
        <v>1070</v>
      </c>
      <c r="G94" s="152">
        <f t="shared" si="34"/>
        <v>1070</v>
      </c>
      <c r="H94" s="190">
        <f t="shared" si="34"/>
        <v>0</v>
      </c>
      <c r="I94" s="193">
        <f t="shared" si="34"/>
        <v>1070</v>
      </c>
      <c r="J94" s="155"/>
      <c r="K94" s="155"/>
    </row>
    <row r="95" spans="1:11" s="154" customFormat="1" ht="12" customHeight="1" x14ac:dyDescent="0.2">
      <c r="A95" s="241"/>
      <c r="B95" s="250"/>
      <c r="C95" s="85">
        <v>226</v>
      </c>
      <c r="D95" s="152">
        <f t="shared" si="35"/>
        <v>0</v>
      </c>
      <c r="E95" s="183">
        <f t="shared" si="34"/>
        <v>1542.8</v>
      </c>
      <c r="F95" s="152">
        <f t="shared" si="34"/>
        <v>3337.181</v>
      </c>
      <c r="G95" s="152">
        <f t="shared" si="34"/>
        <v>4879.9809999999998</v>
      </c>
      <c r="H95" s="190">
        <f t="shared" si="34"/>
        <v>0</v>
      </c>
      <c r="I95" s="193">
        <f t="shared" si="34"/>
        <v>4879.9809999999998</v>
      </c>
      <c r="J95" s="155"/>
      <c r="K95" s="155"/>
    </row>
    <row r="96" spans="1:11" s="154" customFormat="1" ht="12" customHeight="1" x14ac:dyDescent="0.2">
      <c r="A96" s="241"/>
      <c r="B96" s="250"/>
      <c r="C96" s="85">
        <v>290</v>
      </c>
      <c r="D96" s="152">
        <f t="shared" si="35"/>
        <v>0</v>
      </c>
      <c r="E96" s="183">
        <f t="shared" si="34"/>
        <v>0</v>
      </c>
      <c r="F96" s="152">
        <f t="shared" si="34"/>
        <v>0</v>
      </c>
      <c r="G96" s="152">
        <f t="shared" si="34"/>
        <v>0</v>
      </c>
      <c r="H96" s="190">
        <f t="shared" si="34"/>
        <v>1176</v>
      </c>
      <c r="I96" s="193">
        <f t="shared" si="34"/>
        <v>1176</v>
      </c>
      <c r="J96" s="155"/>
      <c r="K96" s="155"/>
    </row>
    <row r="97" spans="1:11" s="154" customFormat="1" ht="12" customHeight="1" thickBot="1" x14ac:dyDescent="0.25">
      <c r="A97" s="249"/>
      <c r="B97" s="251"/>
      <c r="C97" s="156">
        <v>340</v>
      </c>
      <c r="D97" s="152">
        <f t="shared" si="35"/>
        <v>0</v>
      </c>
      <c r="E97" s="183">
        <f t="shared" si="34"/>
        <v>1224.8</v>
      </c>
      <c r="F97" s="152">
        <f t="shared" si="34"/>
        <v>141.30500000000001</v>
      </c>
      <c r="G97" s="152">
        <f t="shared" si="34"/>
        <v>1366.105</v>
      </c>
      <c r="H97" s="190">
        <f t="shared" si="34"/>
        <v>0</v>
      </c>
      <c r="I97" s="193">
        <f t="shared" si="34"/>
        <v>1366.105</v>
      </c>
      <c r="J97" s="155"/>
      <c r="K97" s="155"/>
    </row>
    <row r="99" spans="1:11" x14ac:dyDescent="0.25">
      <c r="F99" s="164"/>
    </row>
    <row r="101" spans="1:11" x14ac:dyDescent="0.25">
      <c r="F101" s="164"/>
    </row>
  </sheetData>
  <mergeCells count="17">
    <mergeCell ref="B65:B75"/>
    <mergeCell ref="A87:A97"/>
    <mergeCell ref="B87:B97"/>
    <mergeCell ref="A21:A31"/>
    <mergeCell ref="B21:B31"/>
    <mergeCell ref="B43:B53"/>
    <mergeCell ref="B54:B64"/>
    <mergeCell ref="B32:B42"/>
    <mergeCell ref="B76:B86"/>
    <mergeCell ref="A32:A86"/>
    <mergeCell ref="A10:A20"/>
    <mergeCell ref="B10:B20"/>
    <mergeCell ref="G2:I2"/>
    <mergeCell ref="G3:I3"/>
    <mergeCell ref="F4:I4"/>
    <mergeCell ref="A6:I6"/>
    <mergeCell ref="A7:I7"/>
  </mergeCells>
  <pageMargins left="0.31496062992125984" right="0.11811023622047245" top="0.15748031496062992" bottom="0.35433070866141736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33"/>
  <sheetViews>
    <sheetView tabSelected="1" workbookViewId="0">
      <selection activeCell="A7" sqref="A7:A9"/>
    </sheetView>
  </sheetViews>
  <sheetFormatPr defaultRowHeight="15" x14ac:dyDescent="0.25"/>
  <cols>
    <col min="1" max="1" width="23" customWidth="1"/>
    <col min="2" max="2" width="10.42578125" customWidth="1"/>
    <col min="3" max="3" width="13.7109375" customWidth="1"/>
    <col min="4" max="4" width="9.7109375" customWidth="1"/>
    <col min="6" max="6" width="10" bestFit="1" customWidth="1"/>
    <col min="7" max="7" width="10.85546875" customWidth="1"/>
    <col min="8" max="8" width="9.7109375" customWidth="1"/>
    <col min="10" max="10" width="10.5703125" customWidth="1"/>
    <col min="11" max="12" width="12.7109375" customWidth="1"/>
    <col min="13" max="13" width="12" customWidth="1"/>
    <col min="14" max="14" width="13.5703125" customWidth="1"/>
  </cols>
  <sheetData>
    <row r="1" spans="1:14" s="56" customFormat="1" ht="16.5" customHeight="1" x14ac:dyDescent="0.25">
      <c r="L1" s="259"/>
      <c r="M1" s="259"/>
      <c r="N1" s="260" t="s">
        <v>196</v>
      </c>
    </row>
    <row r="2" spans="1:14" s="56" customFormat="1" ht="14.25" customHeight="1" x14ac:dyDescent="0.25">
      <c r="K2" s="57"/>
      <c r="L2" s="261" t="s">
        <v>197</v>
      </c>
      <c r="M2" s="261"/>
      <c r="N2" s="261"/>
    </row>
    <row r="3" spans="1:14" s="56" customFormat="1" ht="15.75" customHeight="1" x14ac:dyDescent="0.25">
      <c r="K3" s="57"/>
      <c r="L3" s="261" t="s">
        <v>198</v>
      </c>
      <c r="M3" s="261"/>
      <c r="N3" s="261"/>
    </row>
    <row r="4" spans="1:14" s="56" customFormat="1" ht="11.25" customHeight="1" x14ac:dyDescent="0.2">
      <c r="K4" s="236"/>
      <c r="L4" s="236"/>
      <c r="M4" s="236"/>
      <c r="N4" s="236"/>
    </row>
    <row r="5" spans="1:14" s="78" customFormat="1" ht="12.75" x14ac:dyDescent="0.2">
      <c r="A5" s="246" t="s">
        <v>144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</row>
    <row r="6" spans="1:14" ht="16.5" thickBot="1" x14ac:dyDescent="0.3">
      <c r="A6" s="101"/>
    </row>
    <row r="7" spans="1:14" s="83" customFormat="1" ht="11.25" x14ac:dyDescent="0.2">
      <c r="A7" s="255" t="s">
        <v>135</v>
      </c>
      <c r="B7" s="256" t="s">
        <v>145</v>
      </c>
      <c r="C7" s="256" t="s">
        <v>146</v>
      </c>
      <c r="D7" s="256" t="s">
        <v>147</v>
      </c>
      <c r="E7" s="256"/>
      <c r="F7" s="256" t="s">
        <v>138</v>
      </c>
      <c r="G7" s="256" t="s">
        <v>179</v>
      </c>
      <c r="H7" s="256" t="s">
        <v>148</v>
      </c>
      <c r="I7" s="256" t="s">
        <v>8</v>
      </c>
      <c r="J7" s="256" t="s">
        <v>140</v>
      </c>
      <c r="K7" s="256" t="s">
        <v>149</v>
      </c>
      <c r="L7" s="256"/>
      <c r="M7" s="256"/>
      <c r="N7" s="257" t="s">
        <v>180</v>
      </c>
    </row>
    <row r="8" spans="1:14" s="83" customFormat="1" ht="94.5" x14ac:dyDescent="0.2">
      <c r="A8" s="241"/>
      <c r="B8" s="250"/>
      <c r="C8" s="250"/>
      <c r="D8" s="76" t="s">
        <v>150</v>
      </c>
      <c r="E8" s="76" t="s">
        <v>137</v>
      </c>
      <c r="F8" s="250"/>
      <c r="G8" s="250"/>
      <c r="H8" s="250"/>
      <c r="I8" s="250"/>
      <c r="J8" s="250"/>
      <c r="K8" s="112" t="s">
        <v>151</v>
      </c>
      <c r="L8" s="112" t="s">
        <v>138</v>
      </c>
      <c r="M8" s="112" t="s">
        <v>152</v>
      </c>
      <c r="N8" s="258"/>
    </row>
    <row r="9" spans="1:14" s="83" customFormat="1" ht="11.25" x14ac:dyDescent="0.2">
      <c r="A9" s="241"/>
      <c r="B9" s="250"/>
      <c r="C9" s="76" t="s">
        <v>153</v>
      </c>
      <c r="D9" s="76" t="s">
        <v>153</v>
      </c>
      <c r="E9" s="76" t="s">
        <v>153</v>
      </c>
      <c r="F9" s="76" t="s">
        <v>153</v>
      </c>
      <c r="G9" s="76" t="s">
        <v>153</v>
      </c>
      <c r="H9" s="76" t="s">
        <v>154</v>
      </c>
      <c r="I9" s="76" t="s">
        <v>153</v>
      </c>
      <c r="J9" s="76" t="s">
        <v>153</v>
      </c>
      <c r="K9" s="112" t="s">
        <v>155</v>
      </c>
      <c r="L9" s="112" t="s">
        <v>155</v>
      </c>
      <c r="M9" s="112" t="s">
        <v>156</v>
      </c>
      <c r="N9" s="258"/>
    </row>
    <row r="10" spans="1:14" s="83" customFormat="1" ht="11.25" x14ac:dyDescent="0.2">
      <c r="A10" s="98">
        <v>1</v>
      </c>
      <c r="B10" s="76" t="s">
        <v>157</v>
      </c>
      <c r="C10" s="76">
        <v>2</v>
      </c>
      <c r="D10" s="76" t="s">
        <v>158</v>
      </c>
      <c r="E10" s="76" t="s">
        <v>159</v>
      </c>
      <c r="F10" s="76">
        <v>3</v>
      </c>
      <c r="G10" s="76">
        <v>4</v>
      </c>
      <c r="H10" s="76">
        <v>5</v>
      </c>
      <c r="I10" s="76">
        <v>6</v>
      </c>
      <c r="J10" s="76" t="s">
        <v>191</v>
      </c>
      <c r="K10" s="112" t="s">
        <v>160</v>
      </c>
      <c r="L10" s="112" t="s">
        <v>161</v>
      </c>
      <c r="M10" s="112" t="s">
        <v>162</v>
      </c>
      <c r="N10" s="161" t="s">
        <v>181</v>
      </c>
    </row>
    <row r="11" spans="1:14" s="83" customFormat="1" ht="67.5" x14ac:dyDescent="0.2">
      <c r="A11" s="111" t="s">
        <v>173</v>
      </c>
      <c r="B11" s="87" t="s">
        <v>176</v>
      </c>
      <c r="C11" s="90">
        <f>D11+E11</f>
        <v>2494.8771189992499</v>
      </c>
      <c r="D11" s="88">
        <f>'прил 3'!D10</f>
        <v>1544.4521189992499</v>
      </c>
      <c r="E11" s="88">
        <f>'прил 3'!E10</f>
        <v>950.42499999999995</v>
      </c>
      <c r="F11" s="88">
        <f>'прил 3'!F10</f>
        <v>2844.7007055612003</v>
      </c>
      <c r="G11" s="88">
        <f>C11+F11</f>
        <v>5339.5778245604506</v>
      </c>
      <c r="H11" s="195">
        <v>15</v>
      </c>
      <c r="I11" s="88">
        <f>'прил 3'!H10</f>
        <v>303.44</v>
      </c>
      <c r="J11" s="88">
        <f>(G11+I11)</f>
        <v>5643.0178245604502</v>
      </c>
      <c r="K11" s="160">
        <f t="shared" ref="K11:K15" si="0">C11/H11*1000</f>
        <v>166325.14126661667</v>
      </c>
      <c r="L11" s="160">
        <f>F11/H11*1000</f>
        <v>189646.71370408</v>
      </c>
      <c r="M11" s="160">
        <f>K11+L11</f>
        <v>355971.85497069667</v>
      </c>
      <c r="N11" s="165">
        <f>G11/J11</f>
        <v>0.94622735397373381</v>
      </c>
    </row>
    <row r="12" spans="1:14" s="83" customFormat="1" ht="22.5" x14ac:dyDescent="0.2">
      <c r="A12" s="111" t="s">
        <v>172</v>
      </c>
      <c r="B12" s="87" t="s">
        <v>177</v>
      </c>
      <c r="C12" s="90">
        <f>D12+E12</f>
        <v>1399.8884555536999</v>
      </c>
      <c r="D12" s="88">
        <f>'прил 3'!D21</f>
        <v>1200.4634555537</v>
      </c>
      <c r="E12" s="88">
        <f>'прил 3'!E21</f>
        <v>199.42500000000001</v>
      </c>
      <c r="F12" s="88">
        <f>'прил 3'!F21</f>
        <v>2844.7007055612003</v>
      </c>
      <c r="G12" s="88">
        <f t="shared" ref="G12:G16" si="1">C12+F12</f>
        <v>4244.5891611149</v>
      </c>
      <c r="H12" s="160">
        <v>15.67</v>
      </c>
      <c r="I12" s="88">
        <f>'прил 3'!H21</f>
        <v>303.44</v>
      </c>
      <c r="J12" s="88">
        <f>G12+I12</f>
        <v>4548.0291611148996</v>
      </c>
      <c r="K12" s="160">
        <f t="shared" si="0"/>
        <v>89335.574700299927</v>
      </c>
      <c r="L12" s="160">
        <f t="shared" ref="L12:L16" si="2">F12/H12*1000</f>
        <v>181538.01567078495</v>
      </c>
      <c r="M12" s="160">
        <f t="shared" ref="M12:M16" si="3">K12+L12</f>
        <v>270873.59037108487</v>
      </c>
      <c r="N12" s="165">
        <f t="shared" ref="N12:N18" si="4">G12/J12</f>
        <v>0.93328099067737402</v>
      </c>
    </row>
    <row r="13" spans="1:14" s="78" customFormat="1" ht="67.5" x14ac:dyDescent="0.2">
      <c r="A13" s="169" t="s">
        <v>192</v>
      </c>
      <c r="B13" s="87" t="s">
        <v>69</v>
      </c>
      <c r="C13" s="88">
        <f>C14+C15+C16</f>
        <v>4014.2052192178498</v>
      </c>
      <c r="D13" s="88">
        <f>D14+D15+D16+D17</f>
        <v>2469.58075810125</v>
      </c>
      <c r="E13" s="88">
        <f t="shared" ref="E13:M13" si="5">E14+E15+E16+E17</f>
        <v>2058.75</v>
      </c>
      <c r="F13" s="88">
        <f t="shared" si="5"/>
        <v>9644.4431166836002</v>
      </c>
      <c r="G13" s="88">
        <f t="shared" si="5"/>
        <v>14172.773874784851</v>
      </c>
      <c r="H13" s="88">
        <f t="shared" si="5"/>
        <v>130.5</v>
      </c>
      <c r="I13" s="88">
        <f t="shared" si="5"/>
        <v>1213.76</v>
      </c>
      <c r="J13" s="88">
        <f t="shared" si="5"/>
        <v>15386.533874784851</v>
      </c>
      <c r="K13" s="160">
        <f t="shared" si="5"/>
        <v>375448.73250937107</v>
      </c>
      <c r="L13" s="160">
        <f t="shared" si="5"/>
        <v>1232129.4906736035</v>
      </c>
      <c r="M13" s="160">
        <f t="shared" si="5"/>
        <v>1607578.2231829744</v>
      </c>
      <c r="N13" s="165">
        <f t="shared" si="4"/>
        <v>0.92111543705180499</v>
      </c>
    </row>
    <row r="14" spans="1:14" s="78" customFormat="1" ht="78.75" x14ac:dyDescent="0.2">
      <c r="A14" s="111" t="s">
        <v>186</v>
      </c>
      <c r="B14" s="87" t="s">
        <v>177</v>
      </c>
      <c r="C14" s="90">
        <f t="shared" ref="C14:C16" si="6">D14+E14</f>
        <v>2669.9536025676498</v>
      </c>
      <c r="D14" s="88">
        <f>'прил 3'!D43</f>
        <v>876.52860256765007</v>
      </c>
      <c r="E14" s="88">
        <f>'прил 3'!E43</f>
        <v>1793.425</v>
      </c>
      <c r="F14" s="88">
        <f>'прил 3'!F43</f>
        <v>2844.7007055612003</v>
      </c>
      <c r="G14" s="88">
        <f t="shared" si="1"/>
        <v>5514.6543081288501</v>
      </c>
      <c r="H14" s="160">
        <v>77.5</v>
      </c>
      <c r="I14" s="88">
        <f>'прил 3'!H43</f>
        <v>303.44</v>
      </c>
      <c r="J14" s="88">
        <f>G14+I14</f>
        <v>5818.0943081288497</v>
      </c>
      <c r="K14" s="160">
        <f t="shared" si="0"/>
        <v>34451.014226679355</v>
      </c>
      <c r="L14" s="160">
        <f t="shared" si="2"/>
        <v>36705.815555628389</v>
      </c>
      <c r="M14" s="160">
        <f t="shared" si="3"/>
        <v>71156.829782307745</v>
      </c>
      <c r="N14" s="165">
        <f t="shared" si="4"/>
        <v>0.94784546555458149</v>
      </c>
    </row>
    <row r="15" spans="1:14" s="78" customFormat="1" ht="61.5" customHeight="1" x14ac:dyDescent="0.2">
      <c r="A15" s="111" t="s">
        <v>189</v>
      </c>
      <c r="B15" s="87" t="s">
        <v>176</v>
      </c>
      <c r="C15" s="90">
        <f t="shared" si="6"/>
        <v>830.22607776680013</v>
      </c>
      <c r="D15" s="88">
        <f>'прил 3'!D54</f>
        <v>796.52607776680009</v>
      </c>
      <c r="E15" s="88">
        <f>'прил 3'!E54</f>
        <v>33.700000000000003</v>
      </c>
      <c r="F15" s="88">
        <f>'прил 3'!F54</f>
        <v>2844.7007055612003</v>
      </c>
      <c r="G15" s="88">
        <f>C15+F15</f>
        <v>3674.9267833280005</v>
      </c>
      <c r="H15" s="195">
        <v>3</v>
      </c>
      <c r="I15" s="88">
        <f>'прил 3'!H54</f>
        <v>303.44</v>
      </c>
      <c r="J15" s="88">
        <f>G15+I15</f>
        <v>3978.3667833280006</v>
      </c>
      <c r="K15" s="160">
        <f t="shared" si="0"/>
        <v>276742.02592226671</v>
      </c>
      <c r="L15" s="160">
        <f t="shared" si="2"/>
        <v>948233.56852040009</v>
      </c>
      <c r="M15" s="160">
        <f t="shared" si="3"/>
        <v>1224975.5944426667</v>
      </c>
      <c r="N15" s="165">
        <f t="shared" si="4"/>
        <v>0.92372749509381202</v>
      </c>
    </row>
    <row r="16" spans="1:14" s="78" customFormat="1" ht="41.25" customHeight="1" x14ac:dyDescent="0.2">
      <c r="A16" s="157" t="s">
        <v>193</v>
      </c>
      <c r="B16" s="158" t="s">
        <v>178</v>
      </c>
      <c r="C16" s="90">
        <f t="shared" si="6"/>
        <v>514.02553888340003</v>
      </c>
      <c r="D16" s="159">
        <f>'прил 3'!D65</f>
        <v>398.26303888340004</v>
      </c>
      <c r="E16" s="159">
        <f>'прил 3'!E65</f>
        <v>115.7625</v>
      </c>
      <c r="F16" s="159">
        <f>'прил 3'!F65</f>
        <v>1977.5208527805999</v>
      </c>
      <c r="G16" s="88">
        <f t="shared" si="1"/>
        <v>2491.5463916640001</v>
      </c>
      <c r="H16" s="159">
        <v>10</v>
      </c>
      <c r="I16" s="88">
        <f>'прил 3'!H65</f>
        <v>303.44</v>
      </c>
      <c r="J16" s="88">
        <f>G16+I16</f>
        <v>2794.9863916640002</v>
      </c>
      <c r="K16" s="160">
        <f>C16/H16*1000</f>
        <v>51402.55388834</v>
      </c>
      <c r="L16" s="160">
        <f t="shared" si="2"/>
        <v>197752.08527805997</v>
      </c>
      <c r="M16" s="160">
        <f t="shared" si="3"/>
        <v>249154.63916639995</v>
      </c>
      <c r="N16" s="165">
        <f t="shared" si="4"/>
        <v>0.89143417624321719</v>
      </c>
    </row>
    <row r="17" spans="1:14" s="78" customFormat="1" ht="41.25" customHeight="1" x14ac:dyDescent="0.2">
      <c r="A17" s="157" t="s">
        <v>194</v>
      </c>
      <c r="B17" s="158" t="s">
        <v>178</v>
      </c>
      <c r="C17" s="90">
        <f t="shared" ref="C17" si="7">D17+E17</f>
        <v>514.12553888340005</v>
      </c>
      <c r="D17" s="159">
        <f>'прил 3'!D76</f>
        <v>398.26303888340004</v>
      </c>
      <c r="E17" s="159">
        <f>'прил 3'!E76</f>
        <v>115.86250000000001</v>
      </c>
      <c r="F17" s="159">
        <f>'прил 3'!F76</f>
        <v>1977.5208527805999</v>
      </c>
      <c r="G17" s="88">
        <f t="shared" ref="G17" si="8">C17+F17</f>
        <v>2491.646391664</v>
      </c>
      <c r="H17" s="159">
        <v>40</v>
      </c>
      <c r="I17" s="88">
        <f>'прил 3'!H76</f>
        <v>303.44</v>
      </c>
      <c r="J17" s="88">
        <f>G17+I17</f>
        <v>2795.0863916640001</v>
      </c>
      <c r="K17" s="160">
        <f>C17/H17*1000</f>
        <v>12853.138472085002</v>
      </c>
      <c r="L17" s="160">
        <f t="shared" ref="L17" si="9">F17/H17*1000</f>
        <v>49438.021319514992</v>
      </c>
      <c r="M17" s="160">
        <f t="shared" ref="M17" si="10">K17+L17</f>
        <v>62291.159791599996</v>
      </c>
      <c r="N17" s="165">
        <f>G17/J17</f>
        <v>0.89143806041023543</v>
      </c>
    </row>
    <row r="18" spans="1:14" s="78" customFormat="1" ht="26.25" thickBot="1" x14ac:dyDescent="0.25">
      <c r="A18" s="99" t="s">
        <v>163</v>
      </c>
      <c r="B18" s="100"/>
      <c r="C18" s="103">
        <f>D18+E18</f>
        <v>8423.0963326542005</v>
      </c>
      <c r="D18" s="103">
        <f>D14+D12+D11+D15+D16+D17</f>
        <v>5214.4963326542011</v>
      </c>
      <c r="E18" s="103">
        <f>E14+E12+E11+E15+E16+E17</f>
        <v>3208.5999999999995</v>
      </c>
      <c r="F18" s="103">
        <f>F14+F12+F11+F15+F16+F17</f>
        <v>15333.844527805999</v>
      </c>
      <c r="G18" s="103">
        <f t="shared" ref="G18:M18" si="11">G14+G12+G11+G15+G16+G17</f>
        <v>23756.940860460199</v>
      </c>
      <c r="H18" s="103">
        <f t="shared" si="11"/>
        <v>161.17000000000002</v>
      </c>
      <c r="I18" s="103">
        <f t="shared" si="11"/>
        <v>1820.64</v>
      </c>
      <c r="J18" s="103">
        <f t="shared" si="11"/>
        <v>25577.580860460203</v>
      </c>
      <c r="K18" s="215">
        <f>K14+K12+K11+K15+K16+K17</f>
        <v>631109.44847628765</v>
      </c>
      <c r="L18" s="215">
        <f t="shared" si="11"/>
        <v>1603314.2200484686</v>
      </c>
      <c r="M18" s="215">
        <f t="shared" si="11"/>
        <v>2234423.6685247561</v>
      </c>
      <c r="N18" s="166">
        <f t="shared" si="4"/>
        <v>0.92881891333146016</v>
      </c>
    </row>
    <row r="19" spans="1:14" ht="15.75" hidden="1" x14ac:dyDescent="0.25">
      <c r="A19" s="104" t="s">
        <v>164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62">
        <f t="shared" ref="M19:M30" si="12">K19+L19</f>
        <v>0</v>
      </c>
    </row>
    <row r="20" spans="1:14" ht="15.75" hidden="1" x14ac:dyDescent="0.25">
      <c r="A20" s="105" t="s">
        <v>165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2">
        <f t="shared" si="12"/>
        <v>0</v>
      </c>
    </row>
    <row r="21" spans="1:14" ht="31.5" hidden="1" x14ac:dyDescent="0.25">
      <c r="A21" s="105" t="s">
        <v>166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2">
        <f t="shared" si="12"/>
        <v>0</v>
      </c>
    </row>
    <row r="22" spans="1:14" ht="15.75" hidden="1" x14ac:dyDescent="0.25">
      <c r="A22" s="105" t="s">
        <v>164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2">
        <f t="shared" si="12"/>
        <v>0</v>
      </c>
    </row>
    <row r="23" spans="1:14" ht="15.75" hidden="1" x14ac:dyDescent="0.25">
      <c r="A23" s="105" t="s">
        <v>165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2">
        <f t="shared" si="12"/>
        <v>0</v>
      </c>
    </row>
    <row r="24" spans="1:14" ht="31.5" hidden="1" x14ac:dyDescent="0.25">
      <c r="A24" s="105" t="s">
        <v>167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2">
        <f t="shared" si="12"/>
        <v>0</v>
      </c>
    </row>
    <row r="25" spans="1:14" ht="15.75" hidden="1" x14ac:dyDescent="0.25">
      <c r="A25" s="105" t="s">
        <v>164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2">
        <f t="shared" si="12"/>
        <v>0</v>
      </c>
    </row>
    <row r="26" spans="1:14" ht="15.75" hidden="1" x14ac:dyDescent="0.25">
      <c r="A26" s="105" t="s">
        <v>165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2">
        <f t="shared" si="12"/>
        <v>0</v>
      </c>
    </row>
    <row r="27" spans="1:14" ht="31.5" hidden="1" x14ac:dyDescent="0.25">
      <c r="A27" s="105" t="s">
        <v>168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2">
        <f t="shared" si="12"/>
        <v>0</v>
      </c>
    </row>
    <row r="28" spans="1:14" ht="15.75" hidden="1" x14ac:dyDescent="0.25">
      <c r="A28" s="105" t="s">
        <v>164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2">
        <f t="shared" si="12"/>
        <v>0</v>
      </c>
    </row>
    <row r="29" spans="1:14" ht="15.75" hidden="1" x14ac:dyDescent="0.25">
      <c r="A29" s="105" t="s">
        <v>165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2">
        <f t="shared" si="12"/>
        <v>0</v>
      </c>
    </row>
    <row r="30" spans="1:14" ht="31.5" hidden="1" x14ac:dyDescent="0.25">
      <c r="A30" s="105" t="s">
        <v>169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2">
        <f t="shared" si="12"/>
        <v>0</v>
      </c>
    </row>
    <row r="31" spans="1:14" ht="15.75" x14ac:dyDescent="0.25">
      <c r="A31" s="106"/>
    </row>
    <row r="33" spans="3:3" x14ac:dyDescent="0.25">
      <c r="C33" s="67"/>
    </row>
  </sheetData>
  <mergeCells count="15">
    <mergeCell ref="L2:N2"/>
    <mergeCell ref="L3:N3"/>
    <mergeCell ref="K4:N4"/>
    <mergeCell ref="A5:M5"/>
    <mergeCell ref="A7:A9"/>
    <mergeCell ref="B7:B9"/>
    <mergeCell ref="C7:C8"/>
    <mergeCell ref="D7:E7"/>
    <mergeCell ref="F7:F8"/>
    <mergeCell ref="G7:G8"/>
    <mergeCell ref="N7:N9"/>
    <mergeCell ref="H7:H8"/>
    <mergeCell ref="I7:I8"/>
    <mergeCell ref="J7:J8"/>
    <mergeCell ref="K7:M7"/>
  </mergeCells>
  <pageMargins left="0.31496062992125984" right="0" top="0.55118110236220474" bottom="0.35433070866141736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ЗП</vt:lpstr>
      <vt:lpstr>ГОРЛЕС</vt:lpstr>
      <vt:lpstr>прил 1</vt:lpstr>
      <vt:lpstr>прил 2</vt:lpstr>
      <vt:lpstr>прил 3</vt:lpstr>
      <vt:lpstr>прил 4</vt:lpstr>
      <vt:lpstr>Лист5</vt:lpstr>
      <vt:lpstr>'прил 1'!Область_печати</vt:lpstr>
      <vt:lpstr>'прил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2016-11-30T07:05:22Z</dcterms:modified>
</cp:coreProperties>
</file>