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870" windowWidth="18555" windowHeight="10905" activeTab="0"/>
  </bookViews>
  <sheets>
    <sheet name="форма 2п" sheetId="1" r:id="rId1"/>
  </sheets>
  <definedNames>
    <definedName name="_xlnm.Print_Titles" localSheetId="0">'форма 2п'!$4:$6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<sst xmlns="http://schemas.openxmlformats.org/spreadsheetml/2006/main" count="715" uniqueCount="381">
  <si>
    <t>Население</t>
  </si>
  <si>
    <t>Продукция сельского хозяйства</t>
  </si>
  <si>
    <t>млн. руб.</t>
  </si>
  <si>
    <t>Индекс производства продукции сельского хозяйства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</si>
  <si>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</si>
  <si>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</si>
  <si>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</si>
  <si>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</si>
  <si>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</si>
  <si>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</si>
  <si>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</si>
  <si>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единиц</t>
  </si>
  <si>
    <t>Инвестиции в основной капитал</t>
  </si>
  <si>
    <t>Собственные средства</t>
  </si>
  <si>
    <t>млн. рублей</t>
  </si>
  <si>
    <t>Заемные средства других организаций</t>
  </si>
  <si>
    <t>Прочие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</si>
  <si>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</si>
  <si>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</si>
  <si>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</si>
  <si>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</si>
  <si>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</si>
  <si>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</si>
  <si>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</si>
  <si>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</si>
  <si>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</si>
  <si>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</si>
  <si>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</si>
  <si>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</si>
  <si>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</si>
  <si>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</si>
  <si>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</si>
  <si>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</si>
  <si>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</si>
  <si>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</si>
  <si>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Налоговые и неналоговые доходы, всего</t>
  </si>
  <si>
    <t>Безвозмездные поступления всего, в том числе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</si>
  <si>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</si>
  <si>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</si>
  <si>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</si>
  <si>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</si>
  <si>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</si>
  <si>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</si>
  <si>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</si>
  <si>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</si>
  <si>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</si>
  <si>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</si>
  <si>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</si>
  <si>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</si>
  <si>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</si>
  <si>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тыс. человек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</si>
  <si>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</si>
  <si>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</si>
  <si>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</si>
  <si>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</si>
  <si>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</si>
  <si>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РАЗДЕЛ D: 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</si>
  <si>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</si>
  <si>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</si>
  <si>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</si>
  <si>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Продукция сельского хозяйства в хозяйствах всех категорий, в том числе:</t>
  </si>
  <si>
    <t>Продукция растениеводства</t>
  </si>
  <si>
    <t>Индекс производства продукции растениеводства</t>
  </si>
  <si>
    <t>Продукция животноводства</t>
  </si>
  <si>
    <t>Индекс производства продукции животноводства</t>
  </si>
  <si>
    <t>в ценах соответствующих лет; млрд. руб.</t>
  </si>
  <si>
    <t>тыс. тонн</t>
  </si>
  <si>
    <t>Картофель</t>
  </si>
  <si>
    <t>Овощи</t>
  </si>
  <si>
    <t>Скот и птица на убой (в живом весе)</t>
  </si>
  <si>
    <t>Молоко</t>
  </si>
  <si>
    <t>Яйца</t>
  </si>
  <si>
    <t>Лесоматериалы необработанные</t>
  </si>
  <si>
    <t>млн. куб. м</t>
  </si>
  <si>
    <t>Нефть сырая, включая газовый конденсат</t>
  </si>
  <si>
    <t>Газ природный и попутный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</si>
  <si>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</si>
  <si>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Мясо и субпродукты пищевые домашней птицы</t>
  </si>
  <si>
    <t>Масло сливочное, пасты масляные, масло топленое, жир молочный, спреды и смеси топленые сливочно-растительные</t>
  </si>
  <si>
    <t>Продукция из рыбы свежая, охлажденная или мороженая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</si>
  <si>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</si>
  <si>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</si>
  <si>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Удельный вес жилых домов, построенных населением</t>
  </si>
  <si>
    <t>Оборот общественного питания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</si>
  <si>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</si>
  <si>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</si>
  <si>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</si>
  <si>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по видам экономической деятельности:</t>
  </si>
  <si>
    <t>Раздел А: сельское, лесное хозяйство, охота, рыболовство и рыбоводство</t>
  </si>
  <si>
    <t>без субъектов малого предпринимательства; млн. руб.</t>
  </si>
  <si>
    <t>Раздел В: добыча полезных ископаемых</t>
  </si>
  <si>
    <t>Раздел С: обрабатывающие производства</t>
  </si>
  <si>
    <t>Раздел D: Обеспечение электрической энергией, газом и паром; кондиционирование воздуха</t>
  </si>
  <si>
    <t>Раздел Е: Водоснабжение; водоотведение, организация сбора и утилизации отходов, деятельность по ликвидации загрязнений</t>
  </si>
  <si>
    <t>Раздел F: строительство</t>
  </si>
  <si>
    <t>Раздел G: Торговля оптовая и розничная; ремонт автотранспортных средств и мотоциклов</t>
  </si>
  <si>
    <t>Раздел I: Деятельность гостиниц и предприятий общественного питания</t>
  </si>
  <si>
    <t>Раздел H: Транспортировка и хранение</t>
  </si>
  <si>
    <t>Раздел J: Деятельность в области информации и связи</t>
  </si>
  <si>
    <t>Раздел K: Деятельность финансовая и страховая</t>
  </si>
  <si>
    <t>Раздел L: Деятельность по операциям с недвижимым имуществом</t>
  </si>
  <si>
    <t>Раздел M: Деятельность профессиональная, научная и техническая</t>
  </si>
  <si>
    <t>Раздел N: Деятельность административная и сопутствующие дополнительные услуги</t>
  </si>
  <si>
    <t>Раздел O: Государственное управление и обеспечение военной безопасности; социальное обеспечение</t>
  </si>
  <si>
    <t>Раздел P: Образование</t>
  </si>
  <si>
    <t>Раздел Q: Деятельность в области здравоохранения и социальных услуг</t>
  </si>
  <si>
    <t>Раздел R: Деятельность в области культуры, спорта, организации досуга и развлечений</t>
  </si>
  <si>
    <t>Раздел S: Предоставление прочих видов услуг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</si>
  <si>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</si>
  <si>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Привлеченные средства</t>
  </si>
  <si>
    <t>Кредиты банков</t>
  </si>
  <si>
    <t>Бюджетные средства</t>
  </si>
  <si>
    <t>в том числе:</t>
  </si>
  <si>
    <t>федеральный бюджет</t>
  </si>
  <si>
    <t>бюджеты субъектов Российской Федерации</t>
  </si>
  <si>
    <t>из местных бюджетов</t>
  </si>
  <si>
    <t>налог на доходы физических лиц</t>
  </si>
  <si>
    <t>акцизы</t>
  </si>
  <si>
    <t>налог на имущество физических лиц</t>
  </si>
  <si>
    <t>налог на игорный бизнес</t>
  </si>
  <si>
    <t>транспортный налог</t>
  </si>
  <si>
    <t>земельный налог</t>
  </si>
  <si>
    <t>руб.</t>
  </si>
  <si>
    <t>Средний размер назначенных пенсий</t>
  </si>
  <si>
    <t>Среднесписочная численность работников организаций (без внешних совместителей)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</si>
  <si>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</si>
  <si>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</si>
  <si>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>государственных и муниципальных</t>
  </si>
  <si>
    <t>негосударственных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</si>
  <si>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</si>
  <si>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</si>
  <si>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из них в государственных и муниципальных образовательных учреждениях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</si>
  <si>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</si>
  <si>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</si>
  <si>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</si>
  <si>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</si>
  <si>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больничными койками на 10 000 человек населения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</si>
  <si>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</si>
  <si>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</si>
  <si>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</si>
  <si>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</si>
  <si>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</si>
  <si>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</si>
  <si>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</si>
  <si>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</si>
  <si>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среднего медицинского персонала</t>
  </si>
  <si>
    <t>Численность иностранных граждан, прибывших в регион по цели поездки туризм</t>
  </si>
  <si>
    <t>Все страны</t>
  </si>
  <si>
    <t xml:space="preserve">   Страны вне СНГ</t>
  </si>
  <si>
    <t xml:space="preserve">   Страны СНГ</t>
  </si>
  <si>
    <t>Численность российских граждан, выехавших за границу</t>
  </si>
  <si>
    <t xml:space="preserve">    Страны вне СНГ</t>
  </si>
  <si>
    <t xml:space="preserve">    Страны СНГ</t>
  </si>
  <si>
    <t>Количество российских посетителей из других регионов (резидентов)</t>
  </si>
  <si>
    <t>млрд. руб.</t>
  </si>
  <si>
    <t>Производство пищевых продуктов</t>
  </si>
  <si>
    <t>Производство напитков</t>
  </si>
  <si>
    <t xml:space="preserve"> Обработка древесины и производство изделий из дерева и пробки, кроме мебели, производство изделий из соломки и материалов для плетения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</si>
  <si>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</si>
  <si>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</si>
  <si>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</si>
  <si>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прочей неметаллической минеральной продукции</t>
  </si>
  <si>
    <t>Производство готовых металлических изделий, кроме машин и оборудования</t>
  </si>
  <si>
    <t>Производство компьютеров, электронных и  оптических изделий</t>
  </si>
  <si>
    <t>Производство электрического оборудования</t>
  </si>
  <si>
    <t>млн. руб. 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</si>
  <si>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</si>
  <si>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</si>
  <si>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</si>
  <si>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 млн. руб.</t>
  </si>
  <si>
    <t>Производство прочих готовых изделий</t>
  </si>
  <si>
    <t>Реальные денежные доходы населения</t>
  </si>
  <si>
    <t>Среднедушевые денежные доходы (в месяц)</t>
  </si>
  <si>
    <t>человек</t>
  </si>
  <si>
    <t>Численность обучающихся в общеобразовательных учреждениях (без вечерних (сменных) общеобразовательных учреждениях (на начало учебного года)</t>
  </si>
  <si>
    <t>Обеспеченность:</t>
  </si>
  <si>
    <t xml:space="preserve"> коек</t>
  </si>
  <si>
    <t>учрежд. на 100 тыс. населения</t>
  </si>
  <si>
    <t>на конец года; тыс. человек</t>
  </si>
  <si>
    <t>Налоговые доходы всего, в том числе:</t>
  </si>
  <si>
    <t xml:space="preserve">налоги на совокупный доход  всего, в том числе: </t>
  </si>
  <si>
    <t>прочие налоговые доходы</t>
  </si>
  <si>
    <t>налог на добычу полезных ископаемых</t>
  </si>
  <si>
    <t xml:space="preserve">       налог, взимаемый в связи с применением упрощенной системы налогообложения</t>
  </si>
  <si>
    <t>Неналоговые доходы, всего</t>
  </si>
  <si>
    <t xml:space="preserve">     субсидии </t>
  </si>
  <si>
    <t xml:space="preserve">     субвенции </t>
  </si>
  <si>
    <t xml:space="preserve">     дотации </t>
  </si>
  <si>
    <t>Расходы консолидированного бюджета  муниципального образования всего, в том числе по направлениям:</t>
  </si>
  <si>
    <t>отчет</t>
  </si>
  <si>
    <t>оценка</t>
  </si>
  <si>
    <t>прогноз</t>
  </si>
  <si>
    <t>базовый вариант</t>
  </si>
  <si>
    <t>целевой вариант</t>
  </si>
  <si>
    <t>Основные показатели социально-экономического развития муниципального образования на среднесрочный период</t>
  </si>
  <si>
    <t>1.</t>
  </si>
  <si>
    <t>Численность населения (в среднегодовом исчислении)</t>
  </si>
  <si>
    <t>тыс.чел.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</si>
  <si>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</si>
  <si>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</si>
  <si>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</si>
  <si>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</si>
  <si>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</si>
  <si>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тыс. чел</t>
  </si>
  <si>
    <t>3.</t>
  </si>
  <si>
    <t>2.</t>
  </si>
  <si>
    <t>Объем отгруженных товаров собственного производства, выполненных работ и услуг собственными силами (В+C +D + E)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</si>
  <si>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</si>
  <si>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</si>
  <si>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</si>
  <si>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Темп роста отгрузки - РАЗДЕЛ B: Добыча полезных ископаемых</t>
  </si>
  <si>
    <t>% к предыдущему году в действующих ценах</t>
  </si>
  <si>
    <t>Индекс-дефлятор отрузки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</si>
  <si>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</si>
  <si>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Темп роста отгрузки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</si>
  <si>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</si>
  <si>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</si>
  <si>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</si>
  <si>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Темп роста отгрузки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</si>
  <si>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</si>
  <si>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</si>
  <si>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</si>
  <si>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Темп роста отгрузки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</si>
  <si>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</si>
  <si>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</si>
  <si>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Обрабатывающие производства</t>
  </si>
  <si>
    <t>Темп роста отгрузки - РАЗДЕЛ C: Обрабатывающие производства</t>
  </si>
  <si>
    <t>Индекс-дефлятор отрузки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</si>
  <si>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</si>
  <si>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Темп роста отгрузки -10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</si>
  <si>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</si>
  <si>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</si>
  <si>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</si>
  <si>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Темп роста отгрузки -11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</si>
  <si>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</si>
  <si>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</si>
  <si>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</si>
  <si>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Темп роста отгрузки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</si>
  <si>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</si>
  <si>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</si>
  <si>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</si>
  <si>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Темп роста отгрузки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</si>
  <si>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</si>
  <si>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</si>
  <si>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</si>
  <si>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Темп роста отгрузки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</si>
  <si>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</si>
  <si>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</si>
  <si>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Темп отгрузки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</si>
  <si>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</si>
  <si>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</si>
  <si>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</si>
  <si>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Темп роста отгрузки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</si>
  <si>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</si>
  <si>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</si>
  <si>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</si>
  <si>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Темп роста отгрузки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</si>
  <si>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</si>
  <si>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</si>
  <si>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</si>
  <si>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Темп роста отгрузки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</si>
  <si>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</si>
  <si>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</si>
  <si>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</si>
  <si>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Темп роста отгрузки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</si>
  <si>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</si>
  <si>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</si>
  <si>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</si>
  <si>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Темп роста отгрузки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</si>
  <si>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</si>
  <si>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</si>
  <si>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</si>
  <si>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Темп роста отгрузки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</si>
  <si>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</si>
  <si>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</si>
  <si>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</si>
  <si>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Темп роста отгрузки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</si>
  <si>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</si>
  <si>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</si>
  <si>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</si>
  <si>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Темп роста отгрузки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</si>
  <si>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</si>
  <si>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</si>
  <si>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</si>
  <si>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Темп роста отгрузки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</si>
  <si>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</si>
  <si>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</si>
  <si>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</si>
  <si>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Темп роста отгрузки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</si>
  <si>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</si>
  <si>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</si>
  <si>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</si>
  <si>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Темп роста отгрузки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</si>
  <si>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</si>
  <si>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</si>
  <si>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</si>
  <si>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Темп роста отгрузки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</si>
  <si>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</si>
  <si>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</si>
  <si>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</si>
  <si>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Темп роста отгрузки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</si>
  <si>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</si>
  <si>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</si>
  <si>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</si>
  <si>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Темп роста отгрузки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</si>
  <si>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</si>
  <si>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</si>
  <si>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</si>
  <si>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Темп роста отгрузки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</si>
  <si>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</si>
  <si>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</si>
  <si>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</si>
  <si>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Темп роста отгрузки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</si>
  <si>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</si>
  <si>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</si>
  <si>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</si>
  <si>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</si>
  <si>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</si>
  <si>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</si>
  <si>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</si>
  <si>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</si>
  <si>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Темп роста отгрузки - РАЗДЕЛ D: Обеспечение электрической энергией, газом и паром; кондиционирование воздуха</t>
  </si>
  <si>
    <t>Индекс-дефлятор отгрузки - РАЗДЕЛ D: Обеспечение электрической энергией, газом и паром; кондиционирование воздуха</t>
  </si>
  <si>
    <t>Темп роста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</si>
  <si>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</si>
  <si>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продукции сельского хозяйства в хозяйствах всех категорий</t>
  </si>
  <si>
    <t xml:space="preserve">млн.руб. </t>
  </si>
  <si>
    <t>Индекс-дефлятор продукции растениеводства</t>
  </si>
  <si>
    <t>Индекс-дефлятор продукции животноводства</t>
  </si>
  <si>
    <t>млн.шт.</t>
  </si>
  <si>
    <t>млрд.куб.м.</t>
  </si>
  <si>
    <t>Пиво, кроме отходов пивоварения (включая напитки, изготовляемые на основе пива (пиваные напитки)</t>
  </si>
  <si>
    <t>тыс. дкл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</si>
  <si>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</si>
  <si>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Кирпич строительный (включая камни) из цемента, бетона или искусственного камня</t>
  </si>
  <si>
    <t>млн. условных кирпичей</t>
  </si>
  <si>
    <t>2.3.</t>
  </si>
  <si>
    <t>Промышленное производство (BCDE)</t>
  </si>
  <si>
    <t>2.1.</t>
  </si>
  <si>
    <t>2.2.</t>
  </si>
  <si>
    <t>2.4.</t>
  </si>
  <si>
    <t xml:space="preserve"> Сельское хозяйство</t>
  </si>
  <si>
    <t>4.</t>
  </si>
  <si>
    <t xml:space="preserve">Производство важнейших видов продукции в натуральном выражении </t>
  </si>
  <si>
    <t>5.</t>
  </si>
  <si>
    <t>Строительство</t>
  </si>
  <si>
    <t>6.</t>
  </si>
  <si>
    <t>Торговля и услуги населению</t>
  </si>
  <si>
    <t>6.1.</t>
  </si>
  <si>
    <t>6.2.</t>
  </si>
  <si>
    <t>6.3.</t>
  </si>
  <si>
    <t>7.</t>
  </si>
  <si>
    <t>Малое и среднее предпринимательство, включая микропредприятия</t>
  </si>
  <si>
    <t xml:space="preserve">Муниципальный долг  </t>
  </si>
  <si>
    <t xml:space="preserve"> Инвестиции</t>
  </si>
  <si>
    <t>8.</t>
  </si>
  <si>
    <t>9.</t>
  </si>
  <si>
    <t xml:space="preserve"> Бюджет муниципального образования</t>
  </si>
  <si>
    <t xml:space="preserve"> Денежные доходы  населения</t>
  </si>
  <si>
    <t>13.</t>
  </si>
  <si>
    <t>10.</t>
  </si>
  <si>
    <t>11.</t>
  </si>
  <si>
    <t>Труд и занятость</t>
  </si>
  <si>
    <t>12.</t>
  </si>
  <si>
    <t xml:space="preserve"> Развитие социальной сферы</t>
  </si>
  <si>
    <t>Количество малых и средних предприятий, включая микропредприятия (на конец года)</t>
  </si>
  <si>
    <t xml:space="preserve"> Туризм</t>
  </si>
  <si>
    <t>% к раб силе</t>
  </si>
  <si>
    <t>Общая численность безработных граждан</t>
  </si>
  <si>
    <t>Число родившихся</t>
  </si>
  <si>
    <t>Число умерших</t>
  </si>
  <si>
    <t>Естественный прирост населения</t>
  </si>
  <si>
    <t xml:space="preserve"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
</t>
  </si>
  <si>
    <t>Среднемесячная номинальная начисленная заработная плата 1 работника</t>
  </si>
  <si>
    <t>рублей</t>
  </si>
  <si>
    <t>Темп роста среднемесячной номинальной начисленной заработной платы 1 работника</t>
  </si>
  <si>
    <t>Численность рабочей силы</t>
  </si>
  <si>
    <t>Численность занятых в экономике</t>
  </si>
  <si>
    <t xml:space="preserve">Дефицит(-),профицит(+)  бюджета  </t>
  </si>
  <si>
    <t>Доходы консолидированного бюджета  муниципального образования всего, в том числе:</t>
  </si>
  <si>
    <t>муниципального образования город Югорск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</si>
</sst>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0.0000"/>
    <numFmt numFmtId="181" formatCode="0.00000"/>
  </numFmts>
  <fonts count="51">
    <font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vertical="center" wrapText="1"/>
      <protection/>
    </xf>
    <xf numFmtId="0" fontId="12" fillId="0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Fill="1" applyBorder="1" applyAlignment="1" applyProtection="1">
      <alignment horizontal="left" vertical="center" wrapText="1" shrinkToFi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 shrinkToFit="1"/>
    </xf>
    <xf numFmtId="0" fontId="12" fillId="0" borderId="10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 applyProtection="1">
      <alignment horizontal="left" vertical="top" wrapText="1" shrinkToFit="1"/>
      <protection/>
    </xf>
    <xf numFmtId="0" fontId="11" fillId="33" borderId="10" xfId="0" applyFont="1" applyFill="1" applyBorder="1" applyAlignment="1" applyProtection="1">
      <alignment horizontal="left" vertical="center" wrapText="1" shrinkToFit="1"/>
      <protection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 shrinkToFi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justify"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176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/>
    </xf>
    <xf numFmtId="4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/>
    </xf>
    <xf numFmtId="176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178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4" fontId="50" fillId="0" borderId="12" xfId="0" applyNumberFormat="1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>
      <alignment horizontal="center" vertical="center" wrapText="1" shrinkToFit="1"/>
    </xf>
    <xf numFmtId="176" fontId="50" fillId="0" borderId="10" xfId="0" applyNumberFormat="1" applyFont="1" applyBorder="1" applyAlignment="1">
      <alignment horizontal="center" vertical="center" wrapText="1"/>
    </xf>
    <xf numFmtId="178" fontId="50" fillId="0" borderId="13" xfId="0" applyNumberFormat="1" applyFont="1" applyBorder="1" applyAlignment="1" applyProtection="1">
      <alignment horizontal="center" vertical="center" wrapText="1"/>
      <protection locked="0"/>
    </xf>
    <xf numFmtId="178" fontId="50" fillId="0" borderId="12" xfId="0" applyNumberFormat="1" applyFont="1" applyBorder="1" applyAlignment="1" applyProtection="1">
      <alignment horizontal="center" vertical="center" wrapText="1"/>
      <protection locked="0"/>
    </xf>
    <xf numFmtId="176" fontId="50" fillId="0" borderId="11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50" fillId="0" borderId="10" xfId="0" applyNumberFormat="1" applyFont="1" applyBorder="1" applyAlignment="1" applyProtection="1">
      <alignment horizontal="center" vertical="center" wrapText="1"/>
      <protection locked="0"/>
    </xf>
    <xf numFmtId="178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 shrinkToFit="1"/>
    </xf>
    <xf numFmtId="177" fontId="12" fillId="0" borderId="10" xfId="0" applyNumberFormat="1" applyFont="1" applyFill="1" applyBorder="1" applyAlignment="1" applyProtection="1">
      <alignment horizontal="center" vertical="center" wrapText="1"/>
      <protection/>
    </xf>
    <xf numFmtId="17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 wrapText="1" shrinkToFit="1"/>
    </xf>
    <xf numFmtId="0" fontId="50" fillId="0" borderId="13" xfId="0" applyFont="1" applyBorder="1" applyAlignment="1">
      <alignment horizontal="center" vertical="center" wrapText="1" shrinkToFit="1"/>
    </xf>
    <xf numFmtId="177" fontId="50" fillId="0" borderId="13" xfId="0" applyNumberFormat="1" applyFont="1" applyBorder="1" applyAlignment="1">
      <alignment horizontal="center" vertical="center" wrapText="1" shrinkToFit="1"/>
    </xf>
    <xf numFmtId="0" fontId="50" fillId="0" borderId="12" xfId="0" applyFont="1" applyBorder="1" applyAlignment="1">
      <alignment horizontal="center" vertical="center" wrapText="1" shrinkToFit="1"/>
    </xf>
    <xf numFmtId="177" fontId="50" fillId="0" borderId="12" xfId="0" applyNumberFormat="1" applyFont="1" applyBorder="1" applyAlignment="1">
      <alignment horizontal="center" vertical="center" wrapText="1" shrinkToFit="1"/>
    </xf>
    <xf numFmtId="2" fontId="12" fillId="0" borderId="10" xfId="0" applyNumberFormat="1" applyFont="1" applyFill="1" applyBorder="1" applyAlignment="1" applyProtection="1">
      <alignment horizontal="center" vertical="center" wrapText="1"/>
      <protection/>
    </xf>
    <xf numFmtId="4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10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177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7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2" fillId="0" borderId="10" xfId="0" applyNumberFormat="1" applyFont="1" applyFill="1" applyBorder="1" applyAlignment="1" applyProtection="1">
      <alignment horizontal="center" vertical="center" wrapText="1"/>
      <protection/>
    </xf>
    <xf numFmtId="177" fontId="50" fillId="0" borderId="10" xfId="0" applyNumberFormat="1" applyFont="1" applyBorder="1" applyAlignment="1">
      <alignment horizontal="center" vertical="center" wrapText="1"/>
    </xf>
    <xf numFmtId="177" fontId="50" fillId="0" borderId="13" xfId="0" applyNumberFormat="1" applyFont="1" applyBorder="1" applyAlignment="1">
      <alignment horizontal="center" vertical="center" wrapText="1"/>
    </xf>
    <xf numFmtId="4" fontId="50" fillId="0" borderId="13" xfId="0" applyNumberFormat="1" applyFont="1" applyBorder="1" applyAlignment="1" applyProtection="1">
      <alignment horizontal="center" vertical="center" wrapText="1"/>
      <protection locked="0"/>
    </xf>
    <xf numFmtId="17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2" xfId="0" applyNumberFormat="1" applyFont="1" applyBorder="1" applyAlignment="1" applyProtection="1">
      <alignment horizontal="center" wrapText="1"/>
      <protection locked="0"/>
    </xf>
    <xf numFmtId="2" fontId="4" fillId="34" borderId="14" xfId="0" applyNumberFormat="1" applyFont="1" applyFill="1" applyBorder="1" applyAlignment="1" applyProtection="1">
      <alignment horizontal="center"/>
      <protection locked="0"/>
    </xf>
    <xf numFmtId="177" fontId="4" fillId="35" borderId="10" xfId="0" applyNumberFormat="1" applyFont="1" applyFill="1" applyBorder="1" applyAlignment="1" applyProtection="1">
      <alignment horizontal="center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>
      <alignment horizontal="center" vertical="center"/>
    </xf>
    <xf numFmtId="176" fontId="4" fillId="34" borderId="10" xfId="0" applyNumberFormat="1" applyFont="1" applyFill="1" applyBorder="1" applyAlignment="1">
      <alignment horizontal="center" vertical="center"/>
    </xf>
    <xf numFmtId="178" fontId="50" fillId="34" borderId="13" xfId="0" applyNumberFormat="1" applyFont="1" applyFill="1" applyBorder="1" applyAlignment="1" applyProtection="1">
      <alignment horizontal="center" vertical="center" wrapText="1"/>
      <protection locked="0"/>
    </xf>
    <xf numFmtId="178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>
      <alignment horizontal="center"/>
    </xf>
    <xf numFmtId="176" fontId="4" fillId="34" borderId="10" xfId="0" applyNumberFormat="1" applyFont="1" applyFill="1" applyBorder="1" applyAlignment="1">
      <alignment horizontal="center"/>
    </xf>
    <xf numFmtId="178" fontId="50" fillId="34" borderId="12" xfId="0" applyNumberFormat="1" applyFont="1" applyFill="1" applyBorder="1" applyAlignment="1" applyProtection="1">
      <alignment horizontal="center" vertical="center" wrapText="1"/>
      <protection locked="0"/>
    </xf>
    <xf numFmtId="2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0" xfId="0" applyFill="1" applyAlignment="1">
      <alignment/>
    </xf>
    <xf numFmtId="178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6" fillId="8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6"/>
  <sheetViews>
    <sheetView tabSelected="1" zoomScale="78" zoomScaleNormal="78" zoomScalePageLayoutView="0" workbookViewId="0" topLeftCell="A1">
      <pane xSplit="3" ySplit="7" topLeftCell="D13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U136" sqref="U136"/>
    </sheetView>
  </sheetViews>
  <sheetFormatPr defaultColWidth="9.00390625" defaultRowHeight="12.75"/>
  <cols>
    <col min="1" max="1" width="5.625" style="0" customWidth="1"/>
    <col min="2" max="2" width="41.75390625" style="0" customWidth="1"/>
    <col min="3" max="3" width="24.625" style="0" customWidth="1"/>
    <col min="4" max="4" width="9.125" style="0" customWidth="1"/>
    <col min="13" max="13" width="10.125" style="0" bestFit="1" customWidth="1"/>
  </cols>
  <sheetData>
    <row r="1" spans="2:18" ht="15.75">
      <c r="B1" s="6"/>
      <c r="C1" s="9"/>
      <c r="D1" s="115" t="s">
        <v>194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</row>
    <row r="2" spans="2:18" ht="15.75">
      <c r="B2" s="10"/>
      <c r="C2" s="11"/>
      <c r="D2" s="131" t="s">
        <v>380</v>
      </c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</row>
    <row r="3" spans="2:18" ht="15.75">
      <c r="B3" s="6"/>
      <c r="C3" s="12"/>
      <c r="D3" s="117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</row>
    <row r="4" spans="1:18" ht="15">
      <c r="A4" s="128"/>
      <c r="B4" s="119" t="s">
        <v>22</v>
      </c>
      <c r="C4" s="119" t="s">
        <v>23</v>
      </c>
      <c r="D4" s="3" t="s">
        <v>189</v>
      </c>
      <c r="E4" s="7" t="s">
        <v>189</v>
      </c>
      <c r="F4" s="7" t="s">
        <v>190</v>
      </c>
      <c r="G4" s="120" t="s">
        <v>191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15">
      <c r="A5" s="129"/>
      <c r="B5" s="119"/>
      <c r="C5" s="119"/>
      <c r="D5" s="122">
        <v>2016</v>
      </c>
      <c r="E5" s="124">
        <v>2017</v>
      </c>
      <c r="F5" s="124">
        <v>2018</v>
      </c>
      <c r="G5" s="126">
        <v>2019</v>
      </c>
      <c r="H5" s="127"/>
      <c r="I5" s="126">
        <v>2020</v>
      </c>
      <c r="J5" s="127"/>
      <c r="K5" s="126">
        <v>2021</v>
      </c>
      <c r="L5" s="127"/>
      <c r="M5" s="126">
        <v>2022</v>
      </c>
      <c r="N5" s="127"/>
      <c r="O5" s="126">
        <v>2023</v>
      </c>
      <c r="P5" s="127"/>
      <c r="Q5" s="126">
        <v>2024</v>
      </c>
      <c r="R5" s="127"/>
    </row>
    <row r="6" spans="1:18" ht="30">
      <c r="A6" s="130"/>
      <c r="B6" s="119"/>
      <c r="C6" s="119"/>
      <c r="D6" s="123"/>
      <c r="E6" s="125"/>
      <c r="F6" s="125"/>
      <c r="G6" s="3" t="s">
        <v>192</v>
      </c>
      <c r="H6" s="3" t="s">
        <v>193</v>
      </c>
      <c r="I6" s="3" t="s">
        <v>192</v>
      </c>
      <c r="J6" s="3" t="s">
        <v>193</v>
      </c>
      <c r="K6" s="3" t="s">
        <v>192</v>
      </c>
      <c r="L6" s="3" t="s">
        <v>193</v>
      </c>
      <c r="M6" s="40" t="s">
        <v>192</v>
      </c>
      <c r="N6" s="3" t="s">
        <v>193</v>
      </c>
      <c r="O6" s="3" t="s">
        <v>192</v>
      </c>
      <c r="P6" s="3" t="s">
        <v>193</v>
      </c>
      <c r="Q6" s="3" t="s">
        <v>192</v>
      </c>
      <c r="R6" s="3" t="s">
        <v>193</v>
      </c>
    </row>
    <row r="7" spans="1:18" ht="15">
      <c r="A7" s="22" t="s">
        <v>195</v>
      </c>
      <c r="B7" s="17" t="s">
        <v>0</v>
      </c>
      <c r="C7" s="17"/>
      <c r="D7" s="17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30">
      <c r="A8" s="21"/>
      <c r="B8" s="14" t="s">
        <v>196</v>
      </c>
      <c r="C8" s="15" t="s">
        <v>197</v>
      </c>
      <c r="D8" s="15">
        <v>36.9</v>
      </c>
      <c r="E8" s="7">
        <v>37.3</v>
      </c>
      <c r="F8" s="7">
        <v>37.6</v>
      </c>
      <c r="G8" s="7">
        <v>38.1</v>
      </c>
      <c r="H8" s="7">
        <v>38.1</v>
      </c>
      <c r="I8" s="7">
        <v>38.55</v>
      </c>
      <c r="J8" s="7">
        <v>38.56</v>
      </c>
      <c r="K8" s="7">
        <v>38.95</v>
      </c>
      <c r="L8" s="7">
        <v>38.97</v>
      </c>
      <c r="M8" s="7">
        <v>39.34</v>
      </c>
      <c r="N8" s="7">
        <v>39.37</v>
      </c>
      <c r="O8" s="7">
        <v>39.8</v>
      </c>
      <c r="P8" s="7">
        <v>39.83</v>
      </c>
      <c r="Q8" s="7">
        <v>40.28</v>
      </c>
      <c r="R8" s="7">
        <v>40.31</v>
      </c>
    </row>
    <row r="9" spans="1:18" ht="30">
      <c r="A9" s="21"/>
      <c r="B9" s="16" t="s">
        <v>198</v>
      </c>
      <c r="C9" s="15" t="s">
        <v>197</v>
      </c>
      <c r="D9" s="15">
        <v>22.1</v>
      </c>
      <c r="E9" s="7">
        <v>21.77</v>
      </c>
      <c r="F9" s="7">
        <v>21.9</v>
      </c>
      <c r="G9" s="81">
        <v>22</v>
      </c>
      <c r="H9" s="81">
        <v>22</v>
      </c>
      <c r="I9" s="82">
        <v>22.13</v>
      </c>
      <c r="J9" s="82">
        <v>22.13</v>
      </c>
      <c r="K9" s="82">
        <v>22.11</v>
      </c>
      <c r="L9" s="82">
        <v>22.11</v>
      </c>
      <c r="M9" s="82">
        <v>22.18</v>
      </c>
      <c r="N9" s="82">
        <v>22.18</v>
      </c>
      <c r="O9" s="82">
        <v>22.28</v>
      </c>
      <c r="P9" s="82">
        <v>22.28</v>
      </c>
      <c r="Q9" s="82">
        <v>22.35</v>
      </c>
      <c r="R9" s="82">
        <v>22.35</v>
      </c>
    </row>
    <row r="10" spans="1:18" ht="30">
      <c r="A10" s="21"/>
      <c r="B10" s="16" t="s">
        <v>199</v>
      </c>
      <c r="C10" s="15" t="s">
        <v>197</v>
      </c>
      <c r="D10" s="15">
        <v>6.33</v>
      </c>
      <c r="E10" s="7">
        <v>6.74</v>
      </c>
      <c r="F10" s="7">
        <v>6.95</v>
      </c>
      <c r="G10" s="82">
        <v>7.16</v>
      </c>
      <c r="H10" s="82">
        <v>7.16</v>
      </c>
      <c r="I10" s="82">
        <v>7.41</v>
      </c>
      <c r="J10" s="82">
        <v>7.41</v>
      </c>
      <c r="K10" s="82">
        <v>7.65</v>
      </c>
      <c r="L10" s="82">
        <v>7.65</v>
      </c>
      <c r="M10" s="82">
        <v>7.92</v>
      </c>
      <c r="N10" s="82">
        <v>7.92</v>
      </c>
      <c r="O10" s="82">
        <v>8.18</v>
      </c>
      <c r="P10" s="82">
        <v>8.18</v>
      </c>
      <c r="Q10" s="82">
        <v>8.51</v>
      </c>
      <c r="R10" s="82">
        <v>8.51</v>
      </c>
    </row>
    <row r="11" spans="1:18" ht="30">
      <c r="A11" s="21"/>
      <c r="B11" s="14" t="s">
        <v>25</v>
      </c>
      <c r="C11" s="15" t="s">
        <v>26</v>
      </c>
      <c r="D11" s="15">
        <v>73.5</v>
      </c>
      <c r="E11" s="7">
        <v>73.9</v>
      </c>
      <c r="F11" s="7">
        <v>74.3</v>
      </c>
      <c r="G11" s="81">
        <v>74.6</v>
      </c>
      <c r="H11" s="81">
        <v>74.8</v>
      </c>
      <c r="I11" s="81">
        <v>74.9</v>
      </c>
      <c r="J11" s="81">
        <v>75.4</v>
      </c>
      <c r="K11" s="81">
        <v>75.2</v>
      </c>
      <c r="L11" s="81">
        <v>76</v>
      </c>
      <c r="M11" s="81">
        <v>75.5</v>
      </c>
      <c r="N11" s="81">
        <v>76.3</v>
      </c>
      <c r="O11" s="81">
        <v>75.8</v>
      </c>
      <c r="P11" s="81">
        <v>76.6</v>
      </c>
      <c r="Q11" s="81">
        <v>76</v>
      </c>
      <c r="R11" s="81">
        <v>76.8</v>
      </c>
    </row>
    <row r="12" spans="1:18" ht="15">
      <c r="A12" s="21"/>
      <c r="B12" s="44" t="s">
        <v>369</v>
      </c>
      <c r="C12" s="45" t="s">
        <v>50</v>
      </c>
      <c r="D12" s="15">
        <v>0.553</v>
      </c>
      <c r="E12" s="7">
        <v>0.457</v>
      </c>
      <c r="F12" s="80">
        <v>0.48</v>
      </c>
      <c r="G12" s="80">
        <v>0.48</v>
      </c>
      <c r="H12" s="80">
        <v>0.49</v>
      </c>
      <c r="I12" s="80">
        <v>0.49</v>
      </c>
      <c r="J12" s="80">
        <v>0.495</v>
      </c>
      <c r="K12" s="80">
        <v>0.5</v>
      </c>
      <c r="L12" s="80">
        <v>0.51</v>
      </c>
      <c r="M12" s="80">
        <v>0.51</v>
      </c>
      <c r="N12" s="80">
        <v>0.52</v>
      </c>
      <c r="O12" s="80">
        <v>0.52</v>
      </c>
      <c r="P12" s="80">
        <v>0.53</v>
      </c>
      <c r="Q12" s="80">
        <v>0.53</v>
      </c>
      <c r="R12" s="80">
        <v>0.54</v>
      </c>
    </row>
    <row r="13" spans="1:18" ht="30">
      <c r="A13" s="21"/>
      <c r="B13" s="44" t="s">
        <v>27</v>
      </c>
      <c r="C13" s="45" t="s">
        <v>28</v>
      </c>
      <c r="D13" s="81">
        <f aca="true" t="shared" si="0" ref="D13:R13">SUM(D12/D8)*1000</f>
        <v>14.986449864498647</v>
      </c>
      <c r="E13" s="81">
        <f t="shared" si="0"/>
        <v>12.252010723860591</v>
      </c>
      <c r="F13" s="81">
        <f t="shared" si="0"/>
        <v>12.76595744680851</v>
      </c>
      <c r="G13" s="81">
        <f t="shared" si="0"/>
        <v>12.598425196850393</v>
      </c>
      <c r="H13" s="81">
        <f t="shared" si="0"/>
        <v>12.860892388451443</v>
      </c>
      <c r="I13" s="81">
        <f t="shared" si="0"/>
        <v>12.710765239948119</v>
      </c>
      <c r="J13" s="81">
        <f t="shared" si="0"/>
        <v>12.83713692946058</v>
      </c>
      <c r="K13" s="81">
        <f t="shared" si="0"/>
        <v>12.836970474967906</v>
      </c>
      <c r="L13" s="81">
        <f t="shared" si="0"/>
        <v>13.08698999230177</v>
      </c>
      <c r="M13" s="81">
        <f t="shared" si="0"/>
        <v>12.963904422979155</v>
      </c>
      <c r="N13" s="81">
        <f t="shared" si="0"/>
        <v>13.208026416052833</v>
      </c>
      <c r="O13" s="81">
        <f t="shared" si="0"/>
        <v>13.065326633165832</v>
      </c>
      <c r="P13" s="81">
        <f t="shared" si="0"/>
        <v>13.306552849610847</v>
      </c>
      <c r="Q13" s="81">
        <f t="shared" si="0"/>
        <v>13.157894736842106</v>
      </c>
      <c r="R13" s="81">
        <f t="shared" si="0"/>
        <v>13.396179608037707</v>
      </c>
    </row>
    <row r="14" spans="1:18" ht="30" hidden="1">
      <c r="A14" s="21"/>
      <c r="B14" s="44" t="s">
        <v>200</v>
      </c>
      <c r="C14" s="45" t="s">
        <v>201</v>
      </c>
      <c r="D14" s="83">
        <v>2.04</v>
      </c>
      <c r="E14" s="80">
        <v>1.691</v>
      </c>
      <c r="F14" s="80">
        <v>1.745</v>
      </c>
      <c r="G14" s="80">
        <v>1.72</v>
      </c>
      <c r="H14" s="80">
        <v>1.756</v>
      </c>
      <c r="I14" s="80">
        <v>1.741</v>
      </c>
      <c r="J14" s="80">
        <v>1.759</v>
      </c>
      <c r="K14" s="80">
        <v>1.767</v>
      </c>
      <c r="L14" s="80">
        <v>1.803</v>
      </c>
      <c r="M14" s="80">
        <v>1.784</v>
      </c>
      <c r="N14" s="80">
        <v>1.819</v>
      </c>
      <c r="O14" s="80">
        <v>1.84</v>
      </c>
      <c r="P14" s="80">
        <v>1.876</v>
      </c>
      <c r="Q14" s="80">
        <v>1.876</v>
      </c>
      <c r="R14" s="80">
        <v>1.911</v>
      </c>
    </row>
    <row r="15" spans="1:18" ht="15">
      <c r="A15" s="21"/>
      <c r="B15" s="44" t="s">
        <v>370</v>
      </c>
      <c r="C15" s="45" t="s">
        <v>50</v>
      </c>
      <c r="D15" s="83">
        <v>0.26</v>
      </c>
      <c r="E15" s="7">
        <v>0.257</v>
      </c>
      <c r="F15" s="80">
        <v>0.26</v>
      </c>
      <c r="G15" s="80">
        <v>0.265</v>
      </c>
      <c r="H15" s="80">
        <v>0.27</v>
      </c>
      <c r="I15" s="80">
        <v>0.27</v>
      </c>
      <c r="J15" s="80">
        <v>0.27</v>
      </c>
      <c r="K15" s="80">
        <v>0.267</v>
      </c>
      <c r="L15" s="80">
        <v>0.27</v>
      </c>
      <c r="M15" s="80">
        <v>0.27</v>
      </c>
      <c r="N15" s="80">
        <v>0.275</v>
      </c>
      <c r="O15" s="80">
        <v>0.27</v>
      </c>
      <c r="P15" s="80">
        <v>0.27</v>
      </c>
      <c r="Q15" s="80">
        <v>0.27</v>
      </c>
      <c r="R15" s="80">
        <v>0.27</v>
      </c>
    </row>
    <row r="16" spans="1:18" ht="30">
      <c r="A16" s="21"/>
      <c r="B16" s="44" t="s">
        <v>29</v>
      </c>
      <c r="C16" s="45" t="s">
        <v>30</v>
      </c>
      <c r="D16" s="84">
        <f>SUM(D15/D8)*1000</f>
        <v>7.046070460704608</v>
      </c>
      <c r="E16" s="84">
        <f aca="true" t="shared" si="1" ref="E16:R16">SUM(E15/E8)*1000</f>
        <v>6.890080428954424</v>
      </c>
      <c r="F16" s="84">
        <f t="shared" si="1"/>
        <v>6.914893617021276</v>
      </c>
      <c r="G16" s="84">
        <f t="shared" si="1"/>
        <v>6.955380577427821</v>
      </c>
      <c r="H16" s="84">
        <f t="shared" si="1"/>
        <v>7.086614173228346</v>
      </c>
      <c r="I16" s="84">
        <f t="shared" si="1"/>
        <v>7.0038910505836585</v>
      </c>
      <c r="J16" s="84">
        <f t="shared" si="1"/>
        <v>7.0020746887966805</v>
      </c>
      <c r="K16" s="84">
        <f t="shared" si="1"/>
        <v>6.854942233632863</v>
      </c>
      <c r="L16" s="84">
        <f t="shared" si="1"/>
        <v>6.928406466512702</v>
      </c>
      <c r="M16" s="84">
        <f t="shared" si="1"/>
        <v>6.863243518047788</v>
      </c>
      <c r="N16" s="84">
        <f t="shared" si="1"/>
        <v>6.985013970027941</v>
      </c>
      <c r="O16" s="84">
        <f t="shared" si="1"/>
        <v>6.78391959798995</v>
      </c>
      <c r="P16" s="84">
        <f t="shared" si="1"/>
        <v>6.778809942254583</v>
      </c>
      <c r="Q16" s="84">
        <f t="shared" si="1"/>
        <v>6.7030784508440915</v>
      </c>
      <c r="R16" s="84">
        <f t="shared" si="1"/>
        <v>6.698089804018854</v>
      </c>
    </row>
    <row r="17" spans="1:18" ht="15">
      <c r="A17" s="21"/>
      <c r="B17" s="44" t="s">
        <v>371</v>
      </c>
      <c r="C17" s="45" t="s">
        <v>50</v>
      </c>
      <c r="D17" s="83">
        <f>SUM(D12-D15)</f>
        <v>0.29300000000000004</v>
      </c>
      <c r="E17" s="85">
        <f>SUM(E12-E15)</f>
        <v>0.2</v>
      </c>
      <c r="F17" s="85">
        <f>SUM(F12-F15)</f>
        <v>0.21999999999999997</v>
      </c>
      <c r="G17" s="85">
        <f aca="true" t="shared" si="2" ref="G17:R17">SUM(G12-G15)</f>
        <v>0.21499999999999997</v>
      </c>
      <c r="H17" s="85">
        <f t="shared" si="2"/>
        <v>0.21999999999999997</v>
      </c>
      <c r="I17" s="85">
        <f t="shared" si="2"/>
        <v>0.21999999999999997</v>
      </c>
      <c r="J17" s="85">
        <f t="shared" si="2"/>
        <v>0.22499999999999998</v>
      </c>
      <c r="K17" s="85">
        <f t="shared" si="2"/>
        <v>0.23299999999999998</v>
      </c>
      <c r="L17" s="85">
        <f t="shared" si="2"/>
        <v>0.24</v>
      </c>
      <c r="M17" s="85">
        <f t="shared" si="2"/>
        <v>0.24</v>
      </c>
      <c r="N17" s="85">
        <f t="shared" si="2"/>
        <v>0.245</v>
      </c>
      <c r="O17" s="85">
        <f t="shared" si="2"/>
        <v>0.25</v>
      </c>
      <c r="P17" s="85">
        <f t="shared" si="2"/>
        <v>0.26</v>
      </c>
      <c r="Q17" s="85">
        <f t="shared" si="2"/>
        <v>0.26</v>
      </c>
      <c r="R17" s="85">
        <f t="shared" si="2"/>
        <v>0.27</v>
      </c>
    </row>
    <row r="18" spans="1:18" ht="30">
      <c r="A18" s="21"/>
      <c r="B18" s="14" t="s">
        <v>31</v>
      </c>
      <c r="C18" s="15" t="s">
        <v>32</v>
      </c>
      <c r="D18" s="84">
        <f>SUM(D17/D8)*1000</f>
        <v>7.940379403794039</v>
      </c>
      <c r="E18" s="84">
        <f aca="true" t="shared" si="3" ref="E18:R18">SUM(E17/E8)*1000</f>
        <v>5.361930294906167</v>
      </c>
      <c r="F18" s="84">
        <v>5.8</v>
      </c>
      <c r="G18" s="84">
        <f t="shared" si="3"/>
        <v>5.643044619422572</v>
      </c>
      <c r="H18" s="84">
        <f t="shared" si="3"/>
        <v>5.774278215223096</v>
      </c>
      <c r="I18" s="84">
        <f t="shared" si="3"/>
        <v>5.706874189364461</v>
      </c>
      <c r="J18" s="84">
        <f t="shared" si="3"/>
        <v>5.835062240663899</v>
      </c>
      <c r="K18" s="84">
        <f t="shared" si="3"/>
        <v>5.982028241335044</v>
      </c>
      <c r="L18" s="84">
        <f t="shared" si="3"/>
        <v>6.158583525789068</v>
      </c>
      <c r="M18" s="84">
        <f t="shared" si="3"/>
        <v>6.100660904931367</v>
      </c>
      <c r="N18" s="84">
        <f t="shared" si="3"/>
        <v>6.223012446024892</v>
      </c>
      <c r="O18" s="84">
        <f t="shared" si="3"/>
        <v>6.28140703517588</v>
      </c>
      <c r="P18" s="84">
        <f t="shared" si="3"/>
        <v>6.527742907356265</v>
      </c>
      <c r="Q18" s="84">
        <f t="shared" si="3"/>
        <v>6.454816285998014</v>
      </c>
      <c r="R18" s="84">
        <f t="shared" si="3"/>
        <v>6.698089804018854</v>
      </c>
    </row>
    <row r="19" spans="1:18" ht="17.25" customHeight="1">
      <c r="A19" s="21"/>
      <c r="B19" s="14" t="s">
        <v>202</v>
      </c>
      <c r="C19" s="15" t="s">
        <v>203</v>
      </c>
      <c r="D19" s="83">
        <v>0.12</v>
      </c>
      <c r="E19" s="83">
        <v>0.059</v>
      </c>
      <c r="F19" s="83">
        <v>0.244</v>
      </c>
      <c r="G19" s="83">
        <v>0.225</v>
      </c>
      <c r="H19" s="83">
        <v>0.227</v>
      </c>
      <c r="I19" s="83">
        <v>0.25</v>
      </c>
      <c r="J19" s="83">
        <v>0.257</v>
      </c>
      <c r="K19" s="83">
        <v>0.097</v>
      </c>
      <c r="L19" s="83">
        <v>0.1</v>
      </c>
      <c r="M19" s="83">
        <v>0.204</v>
      </c>
      <c r="N19" s="83">
        <v>0.201</v>
      </c>
      <c r="O19" s="83">
        <v>0.23</v>
      </c>
      <c r="P19" s="83">
        <v>0.222</v>
      </c>
      <c r="Q19" s="83">
        <v>0.22</v>
      </c>
      <c r="R19" s="83">
        <v>0.215</v>
      </c>
    </row>
    <row r="20" spans="1:18" ht="19.5" customHeight="1">
      <c r="A20" s="23" t="s">
        <v>205</v>
      </c>
      <c r="B20" s="32" t="s">
        <v>337</v>
      </c>
      <c r="C20" s="19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1:19" ht="62.25" customHeight="1">
      <c r="A21" s="20"/>
      <c r="B21" s="24" t="s">
        <v>206</v>
      </c>
      <c r="C21" s="15" t="s">
        <v>207</v>
      </c>
      <c r="D21" s="52">
        <f>SUM(D24+D41+D138+D143)</f>
        <v>1052.9</v>
      </c>
      <c r="E21" s="52">
        <f aca="true" t="shared" si="4" ref="E21:R21">SUM(E24+E41+E138+E143)</f>
        <v>1089.7</v>
      </c>
      <c r="F21" s="52">
        <f t="shared" si="4"/>
        <v>1134.3</v>
      </c>
      <c r="G21" s="52">
        <f t="shared" si="4"/>
        <v>1203.8000000000002</v>
      </c>
      <c r="H21" s="52">
        <f t="shared" si="4"/>
        <v>1210</v>
      </c>
      <c r="I21" s="52">
        <f t="shared" si="4"/>
        <v>1272.4</v>
      </c>
      <c r="J21" s="52">
        <f t="shared" si="4"/>
        <v>1282.9</v>
      </c>
      <c r="K21" s="52">
        <f t="shared" si="4"/>
        <v>1346.9</v>
      </c>
      <c r="L21" s="52">
        <f t="shared" si="4"/>
        <v>1363.4</v>
      </c>
      <c r="M21" s="108">
        <f t="shared" si="4"/>
        <v>1417.3564</v>
      </c>
      <c r="N21" s="108">
        <f t="shared" si="4"/>
        <v>1439.3922</v>
      </c>
      <c r="O21" s="108">
        <f t="shared" si="4"/>
        <v>1495.0440176</v>
      </c>
      <c r="P21" s="108">
        <f t="shared" si="4"/>
        <v>1524.0813732</v>
      </c>
      <c r="Q21" s="108">
        <f t="shared" si="4"/>
        <v>1577.9877622048002</v>
      </c>
      <c r="R21" s="108">
        <f t="shared" si="4"/>
        <v>1616.390873124</v>
      </c>
      <c r="S21" s="111"/>
    </row>
    <row r="22" spans="1:18" ht="30">
      <c r="A22" s="20"/>
      <c r="B22" s="25" t="s">
        <v>208</v>
      </c>
      <c r="C22" s="15" t="s">
        <v>5</v>
      </c>
      <c r="D22" s="54">
        <v>93.4</v>
      </c>
      <c r="E22" s="106">
        <v>98.5</v>
      </c>
      <c r="F22" s="106">
        <v>99.4</v>
      </c>
      <c r="G22" s="106">
        <v>101</v>
      </c>
      <c r="H22" s="106">
        <v>101.4</v>
      </c>
      <c r="I22" s="106">
        <v>101.1</v>
      </c>
      <c r="J22" s="106">
        <v>101.5</v>
      </c>
      <c r="K22" s="106">
        <v>101.3</v>
      </c>
      <c r="L22" s="106">
        <v>101.7</v>
      </c>
      <c r="M22" s="50">
        <v>102.1</v>
      </c>
      <c r="N22" s="50">
        <v>102.4</v>
      </c>
      <c r="O22" s="50">
        <v>101.5</v>
      </c>
      <c r="P22" s="50">
        <v>101.9</v>
      </c>
      <c r="Q22" s="50">
        <v>101.6</v>
      </c>
      <c r="R22" s="50">
        <v>102.1</v>
      </c>
    </row>
    <row r="23" spans="1:18" ht="15" hidden="1">
      <c r="A23" s="33" t="s">
        <v>338</v>
      </c>
      <c r="B23" s="26" t="s">
        <v>209</v>
      </c>
      <c r="C23" s="15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</row>
    <row r="24" spans="1:18" ht="60" hidden="1">
      <c r="A24" s="20"/>
      <c r="B24" s="14" t="s">
        <v>51</v>
      </c>
      <c r="C24" s="15" t="s">
        <v>207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</row>
    <row r="25" spans="1:18" ht="30" hidden="1">
      <c r="A25" s="20"/>
      <c r="B25" s="14" t="s">
        <v>210</v>
      </c>
      <c r="C25" s="15" t="s">
        <v>211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</row>
    <row r="26" spans="1:18" ht="30" hidden="1">
      <c r="A26" s="20"/>
      <c r="B26" s="14" t="s">
        <v>212</v>
      </c>
      <c r="C26" s="15" t="s">
        <v>24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</row>
    <row r="27" spans="1:18" ht="30" hidden="1">
      <c r="A27" s="20"/>
      <c r="B27" s="14" t="s">
        <v>52</v>
      </c>
      <c r="C27" s="15" t="s">
        <v>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</row>
    <row r="28" spans="1:18" ht="60" hidden="1">
      <c r="A28" s="20"/>
      <c r="B28" s="14" t="s">
        <v>213</v>
      </c>
      <c r="C28" s="15" t="s">
        <v>207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</row>
    <row r="29" spans="1:18" ht="30" hidden="1">
      <c r="A29" s="20"/>
      <c r="B29" s="14" t="s">
        <v>214</v>
      </c>
      <c r="C29" s="15" t="s">
        <v>211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</row>
    <row r="30" spans="1:18" ht="30" hidden="1">
      <c r="A30" s="20"/>
      <c r="B30" s="14" t="s">
        <v>215</v>
      </c>
      <c r="C30" s="15" t="s">
        <v>24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</row>
    <row r="31" spans="1:18" ht="30" hidden="1">
      <c r="A31" s="20"/>
      <c r="B31" s="14" t="s">
        <v>216</v>
      </c>
      <c r="C31" s="15" t="s">
        <v>5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</row>
    <row r="32" spans="1:18" ht="60" hidden="1">
      <c r="A32" s="20"/>
      <c r="B32" s="14" t="s">
        <v>217</v>
      </c>
      <c r="C32" s="15" t="s">
        <v>207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</row>
    <row r="33" spans="1:18" ht="30" hidden="1">
      <c r="A33" s="20"/>
      <c r="B33" s="14" t="s">
        <v>218</v>
      </c>
      <c r="C33" s="15" t="s">
        <v>211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</row>
    <row r="34" spans="1:18" ht="30" hidden="1">
      <c r="A34" s="20"/>
      <c r="B34" s="14" t="s">
        <v>219</v>
      </c>
      <c r="C34" s="15" t="s">
        <v>24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</row>
    <row r="35" spans="1:18" ht="30" hidden="1">
      <c r="A35" s="20"/>
      <c r="B35" s="14" t="s">
        <v>220</v>
      </c>
      <c r="C35" s="15" t="s">
        <v>5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</row>
    <row r="36" spans="1:18" ht="75" hidden="1">
      <c r="A36" s="20"/>
      <c r="B36" s="14" t="s">
        <v>221</v>
      </c>
      <c r="C36" s="15" t="s">
        <v>207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</row>
    <row r="37" spans="1:18" ht="45" hidden="1">
      <c r="A37" s="20"/>
      <c r="B37" s="14" t="s">
        <v>222</v>
      </c>
      <c r="C37" s="15" t="s">
        <v>211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</row>
    <row r="38" spans="1:18" ht="45" hidden="1">
      <c r="A38" s="20"/>
      <c r="B38" s="14" t="s">
        <v>223</v>
      </c>
      <c r="C38" s="15" t="s">
        <v>24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</row>
    <row r="39" spans="1:18" ht="45" hidden="1">
      <c r="A39" s="20"/>
      <c r="B39" s="14" t="s">
        <v>224</v>
      </c>
      <c r="C39" s="15" t="s">
        <v>5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</row>
    <row r="40" spans="1:18" ht="15">
      <c r="A40" s="33" t="s">
        <v>339</v>
      </c>
      <c r="B40" s="26" t="s">
        <v>225</v>
      </c>
      <c r="C40" s="27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18" ht="60">
      <c r="A41" s="20"/>
      <c r="B41" s="14" t="s">
        <v>53</v>
      </c>
      <c r="C41" s="28" t="s">
        <v>207</v>
      </c>
      <c r="D41" s="53">
        <f>D45+D49+D133</f>
        <v>402.9</v>
      </c>
      <c r="E41" s="53">
        <f aca="true" t="shared" si="5" ref="E41:R41">E45+E49+E133</f>
        <v>452</v>
      </c>
      <c r="F41" s="53">
        <f t="shared" si="5"/>
        <v>478.5</v>
      </c>
      <c r="G41" s="53">
        <f t="shared" si="5"/>
        <v>508.1</v>
      </c>
      <c r="H41" s="53">
        <f t="shared" si="5"/>
        <v>511.2</v>
      </c>
      <c r="I41" s="53">
        <f t="shared" si="5"/>
        <v>541.7</v>
      </c>
      <c r="J41" s="53">
        <f t="shared" si="5"/>
        <v>545.3</v>
      </c>
      <c r="K41" s="53">
        <f t="shared" si="5"/>
        <v>578.7</v>
      </c>
      <c r="L41" s="53">
        <f t="shared" si="5"/>
        <v>584.2</v>
      </c>
      <c r="M41" s="53">
        <f t="shared" si="5"/>
        <v>609.9844</v>
      </c>
      <c r="N41" s="53">
        <f t="shared" si="5"/>
        <v>615.9402</v>
      </c>
      <c r="O41" s="53">
        <f t="shared" si="5"/>
        <v>646.4995076</v>
      </c>
      <c r="P41" s="53">
        <f t="shared" si="5"/>
        <v>653.8622532</v>
      </c>
      <c r="Q41" s="53">
        <f t="shared" si="5"/>
        <v>686.1679016548001</v>
      </c>
      <c r="R41" s="53">
        <f t="shared" si="5"/>
        <v>696.0494859240001</v>
      </c>
    </row>
    <row r="42" spans="1:18" ht="30">
      <c r="A42" s="20"/>
      <c r="B42" s="14" t="s">
        <v>226</v>
      </c>
      <c r="C42" s="28" t="s">
        <v>211</v>
      </c>
      <c r="D42" s="28">
        <v>102.7</v>
      </c>
      <c r="E42" s="55">
        <f>E41/D41*100</f>
        <v>112.18664681062297</v>
      </c>
      <c r="F42" s="55">
        <f>F41/E41*100</f>
        <v>105.86283185840708</v>
      </c>
      <c r="G42" s="55">
        <f>G41/F41*100</f>
        <v>106.18599791013585</v>
      </c>
      <c r="H42" s="55">
        <f>H41/F41*100</f>
        <v>106.83385579937304</v>
      </c>
      <c r="I42" s="55">
        <f>I41/G41*100</f>
        <v>106.61287148199175</v>
      </c>
      <c r="J42" s="55">
        <f>J41/H41*100</f>
        <v>106.67057902973396</v>
      </c>
      <c r="K42" s="55">
        <f>K41/I41*100</f>
        <v>106.83034890160606</v>
      </c>
      <c r="L42" s="55">
        <f>L41/J41*100</f>
        <v>107.13368787823218</v>
      </c>
      <c r="M42" s="55">
        <f aca="true" t="shared" si="6" ref="M42:R42">M41/K41*100</f>
        <v>105.40597891826509</v>
      </c>
      <c r="N42" s="55">
        <f t="shared" si="6"/>
        <v>105.43310510099279</v>
      </c>
      <c r="O42" s="55">
        <f t="shared" si="6"/>
        <v>105.98623630374809</v>
      </c>
      <c r="P42" s="55">
        <f t="shared" si="6"/>
        <v>106.15677515447118</v>
      </c>
      <c r="Q42" s="55">
        <f t="shared" si="6"/>
        <v>106.1358738233322</v>
      </c>
      <c r="R42" s="55">
        <f t="shared" si="6"/>
        <v>106.4520061400602</v>
      </c>
    </row>
    <row r="43" spans="1:18" ht="30">
      <c r="A43" s="20"/>
      <c r="B43" s="14" t="s">
        <v>227</v>
      </c>
      <c r="C43" s="28" t="s">
        <v>24</v>
      </c>
      <c r="D43" s="28">
        <v>102.2</v>
      </c>
      <c r="E43" s="55">
        <v>104</v>
      </c>
      <c r="F43" s="55">
        <v>105.1</v>
      </c>
      <c r="G43" s="55">
        <v>105.1</v>
      </c>
      <c r="H43" s="55">
        <v>105.2</v>
      </c>
      <c r="I43" s="55">
        <v>105.2</v>
      </c>
      <c r="J43" s="55">
        <v>105</v>
      </c>
      <c r="K43" s="55">
        <v>105.2</v>
      </c>
      <c r="L43" s="55">
        <v>105</v>
      </c>
      <c r="M43" s="7">
        <v>103.6</v>
      </c>
      <c r="N43" s="7">
        <v>104</v>
      </c>
      <c r="O43" s="7">
        <v>104</v>
      </c>
      <c r="P43" s="7">
        <v>104</v>
      </c>
      <c r="Q43" s="7">
        <v>104</v>
      </c>
      <c r="R43" s="7">
        <v>104.2</v>
      </c>
    </row>
    <row r="44" spans="1:18" ht="30">
      <c r="A44" s="20"/>
      <c r="B44" s="14" t="s">
        <v>54</v>
      </c>
      <c r="C44" s="28" t="s">
        <v>5</v>
      </c>
      <c r="D44" s="28">
        <v>93.4</v>
      </c>
      <c r="E44" s="55">
        <v>107.9</v>
      </c>
      <c r="F44" s="55">
        <v>100.7</v>
      </c>
      <c r="G44" s="55">
        <v>101.1</v>
      </c>
      <c r="H44" s="55">
        <v>101.5</v>
      </c>
      <c r="I44" s="55">
        <v>101.3</v>
      </c>
      <c r="J44" s="55">
        <v>101.6</v>
      </c>
      <c r="K44" s="55">
        <v>101.6</v>
      </c>
      <c r="L44" s="55">
        <f>SUM(L41/J41)*10000/L43</f>
        <v>102.03208369355447</v>
      </c>
      <c r="M44" s="55">
        <f aca="true" t="shared" si="7" ref="M44:R44">SUM(M41/K41)*10000/M43</f>
        <v>101.74322289407827</v>
      </c>
      <c r="N44" s="55">
        <f t="shared" si="7"/>
        <v>101.37798567403154</v>
      </c>
      <c r="O44" s="55">
        <f t="shared" si="7"/>
        <v>101.90984259975777</v>
      </c>
      <c r="P44" s="55">
        <f t="shared" si="7"/>
        <v>102.0738222639146</v>
      </c>
      <c r="Q44" s="55">
        <f t="shared" si="7"/>
        <v>102.05372483012712</v>
      </c>
      <c r="R44" s="55">
        <f t="shared" si="7"/>
        <v>102.16123429948196</v>
      </c>
    </row>
    <row r="45" spans="1:18" ht="60">
      <c r="A45" s="20"/>
      <c r="B45" s="14" t="s">
        <v>228</v>
      </c>
      <c r="C45" s="28" t="s">
        <v>207</v>
      </c>
      <c r="D45" s="28">
        <v>137.9</v>
      </c>
      <c r="E45" s="55">
        <v>133.5</v>
      </c>
      <c r="F45" s="55">
        <v>139.5</v>
      </c>
      <c r="G45" s="55">
        <v>145.8</v>
      </c>
      <c r="H45" s="55">
        <v>146.7</v>
      </c>
      <c r="I45" s="55">
        <v>152.9</v>
      </c>
      <c r="J45" s="55">
        <v>154.2</v>
      </c>
      <c r="K45" s="55">
        <v>160.4</v>
      </c>
      <c r="L45" s="55">
        <v>162.5</v>
      </c>
      <c r="M45" s="81">
        <f>SUM(K45)*1.049</f>
        <v>168.2596</v>
      </c>
      <c r="N45" s="81">
        <f>SUM(L45)*1.05</f>
        <v>170.625</v>
      </c>
      <c r="O45" s="81">
        <f>SUM(M45)*1.049</f>
        <v>176.50432039999998</v>
      </c>
      <c r="P45" s="81">
        <f>SUM(N45)*1.05</f>
        <v>179.15625</v>
      </c>
      <c r="Q45" s="81">
        <f>SUM(O45)*1.049</f>
        <v>185.15303209959998</v>
      </c>
      <c r="R45" s="81">
        <f>SUM(P45)*1.05</f>
        <v>188.11406250000002</v>
      </c>
    </row>
    <row r="46" spans="1:18" ht="30">
      <c r="A46" s="20"/>
      <c r="B46" s="14" t="s">
        <v>229</v>
      </c>
      <c r="C46" s="28" t="s">
        <v>211</v>
      </c>
      <c r="D46" s="28">
        <v>102.7</v>
      </c>
      <c r="E46" s="55">
        <f>E45/D45*100</f>
        <v>96.8092820884699</v>
      </c>
      <c r="F46" s="55">
        <f>F45/E45*100</f>
        <v>104.49438202247192</v>
      </c>
      <c r="G46" s="55">
        <f>G45/F45*100</f>
        <v>104.51612903225806</v>
      </c>
      <c r="H46" s="55">
        <f>H45/F45*100</f>
        <v>105.16129032258064</v>
      </c>
      <c r="I46" s="55">
        <f>I45/G45*100</f>
        <v>104.86968449931413</v>
      </c>
      <c r="J46" s="55">
        <f>J45/H45*100</f>
        <v>105.11247443762781</v>
      </c>
      <c r="K46" s="55">
        <f>K45/I45*100</f>
        <v>104.90516677567037</v>
      </c>
      <c r="L46" s="55">
        <f>L45/J45*100</f>
        <v>105.38261997405966</v>
      </c>
      <c r="M46" s="55">
        <f aca="true" t="shared" si="8" ref="M46:R46">M45/K45*100</f>
        <v>104.89999999999999</v>
      </c>
      <c r="N46" s="55">
        <f t="shared" si="8"/>
        <v>105</v>
      </c>
      <c r="O46" s="55">
        <f t="shared" si="8"/>
        <v>104.89999999999999</v>
      </c>
      <c r="P46" s="55">
        <f t="shared" si="8"/>
        <v>105</v>
      </c>
      <c r="Q46" s="55">
        <f t="shared" si="8"/>
        <v>104.89999999999999</v>
      </c>
      <c r="R46" s="55">
        <f t="shared" si="8"/>
        <v>105</v>
      </c>
    </row>
    <row r="47" spans="1:18" ht="30">
      <c r="A47" s="20"/>
      <c r="B47" s="14" t="s">
        <v>230</v>
      </c>
      <c r="C47" s="28" t="s">
        <v>24</v>
      </c>
      <c r="D47" s="53">
        <v>104</v>
      </c>
      <c r="E47" s="55">
        <v>102.8</v>
      </c>
      <c r="F47" s="55">
        <v>104.3</v>
      </c>
      <c r="G47" s="55">
        <v>104</v>
      </c>
      <c r="H47" s="55">
        <v>104.3</v>
      </c>
      <c r="I47" s="55">
        <v>104.1</v>
      </c>
      <c r="J47" s="55">
        <v>104.1</v>
      </c>
      <c r="K47" s="55">
        <v>104.1</v>
      </c>
      <c r="L47" s="55">
        <v>104.1</v>
      </c>
      <c r="M47" s="7">
        <v>103.7</v>
      </c>
      <c r="N47" s="7">
        <v>104</v>
      </c>
      <c r="O47" s="7">
        <v>103.8</v>
      </c>
      <c r="P47" s="7">
        <v>104</v>
      </c>
      <c r="Q47" s="7">
        <v>104</v>
      </c>
      <c r="R47" s="7">
        <v>104</v>
      </c>
    </row>
    <row r="48" spans="1:18" ht="30">
      <c r="A48" s="20"/>
      <c r="B48" s="14" t="s">
        <v>231</v>
      </c>
      <c r="C48" s="28" t="s">
        <v>5</v>
      </c>
      <c r="D48" s="28">
        <v>98.8</v>
      </c>
      <c r="E48" s="55">
        <v>94.2</v>
      </c>
      <c r="F48" s="55">
        <v>100.2</v>
      </c>
      <c r="G48" s="55">
        <v>100.5</v>
      </c>
      <c r="H48" s="55">
        <v>100.8</v>
      </c>
      <c r="I48" s="55">
        <v>100.7</v>
      </c>
      <c r="J48" s="55">
        <v>101</v>
      </c>
      <c r="K48" s="81">
        <f aca="true" t="shared" si="9" ref="K48:R48">SUM(K46/K47)*100</f>
        <v>100.77345511591776</v>
      </c>
      <c r="L48" s="81">
        <f t="shared" si="9"/>
        <v>101.23210372147904</v>
      </c>
      <c r="M48" s="81">
        <f t="shared" si="9"/>
        <v>101.15718418514945</v>
      </c>
      <c r="N48" s="81">
        <f t="shared" si="9"/>
        <v>100.96153846153845</v>
      </c>
      <c r="O48" s="81">
        <f t="shared" si="9"/>
        <v>101.05973025048169</v>
      </c>
      <c r="P48" s="81">
        <f t="shared" si="9"/>
        <v>100.96153846153845</v>
      </c>
      <c r="Q48" s="81">
        <f t="shared" si="9"/>
        <v>100.86538461538461</v>
      </c>
      <c r="R48" s="81">
        <f t="shared" si="9"/>
        <v>100.96153846153845</v>
      </c>
    </row>
    <row r="49" spans="1:18" ht="60" hidden="1">
      <c r="A49" s="20"/>
      <c r="B49" s="14" t="s">
        <v>232</v>
      </c>
      <c r="C49" s="15" t="s">
        <v>207</v>
      </c>
      <c r="D49" s="53"/>
      <c r="E49" s="55"/>
      <c r="F49" s="55"/>
      <c r="G49" s="55"/>
      <c r="H49" s="55"/>
      <c r="I49" s="55"/>
      <c r="J49" s="55"/>
      <c r="K49" s="55"/>
      <c r="L49" s="55"/>
      <c r="M49" s="48"/>
      <c r="N49" s="48"/>
      <c r="O49" s="48"/>
      <c r="P49" s="48"/>
      <c r="Q49" s="48"/>
      <c r="R49" s="48"/>
    </row>
    <row r="50" spans="1:18" ht="30" hidden="1">
      <c r="A50" s="20"/>
      <c r="B50" s="14" t="s">
        <v>233</v>
      </c>
      <c r="C50" s="15" t="s">
        <v>211</v>
      </c>
      <c r="D50" s="28"/>
      <c r="E50" s="55"/>
      <c r="F50" s="55"/>
      <c r="G50" s="55"/>
      <c r="H50" s="55"/>
      <c r="I50" s="55"/>
      <c r="J50" s="55"/>
      <c r="K50" s="55"/>
      <c r="L50" s="55"/>
      <c r="M50" s="48"/>
      <c r="N50" s="48"/>
      <c r="O50" s="48"/>
      <c r="P50" s="48"/>
      <c r="Q50" s="48"/>
      <c r="R50" s="48"/>
    </row>
    <row r="51" spans="1:18" ht="30" hidden="1">
      <c r="A51" s="20"/>
      <c r="B51" s="14" t="s">
        <v>234</v>
      </c>
      <c r="C51" s="15" t="s">
        <v>24</v>
      </c>
      <c r="D51" s="53"/>
      <c r="E51" s="55"/>
      <c r="F51" s="55"/>
      <c r="G51" s="55"/>
      <c r="H51" s="55"/>
      <c r="I51" s="55"/>
      <c r="J51" s="55"/>
      <c r="K51" s="55"/>
      <c r="L51" s="55"/>
      <c r="M51" s="48"/>
      <c r="N51" s="48"/>
      <c r="O51" s="48"/>
      <c r="P51" s="48"/>
      <c r="Q51" s="48"/>
      <c r="R51" s="48"/>
    </row>
    <row r="52" spans="1:18" ht="30" hidden="1">
      <c r="A52" s="20"/>
      <c r="B52" s="14" t="s">
        <v>235</v>
      </c>
      <c r="C52" s="15" t="s">
        <v>5</v>
      </c>
      <c r="D52" s="53"/>
      <c r="E52" s="55"/>
      <c r="F52" s="55"/>
      <c r="G52" s="55"/>
      <c r="H52" s="55"/>
      <c r="I52" s="55"/>
      <c r="J52" s="55"/>
      <c r="K52" s="55"/>
      <c r="L52" s="55"/>
      <c r="M52" s="48"/>
      <c r="N52" s="48"/>
      <c r="O52" s="48"/>
      <c r="P52" s="48"/>
      <c r="Q52" s="48"/>
      <c r="R52" s="48"/>
    </row>
    <row r="53" spans="1:18" ht="60" hidden="1">
      <c r="A53" s="20"/>
      <c r="B53" s="14" t="s">
        <v>236</v>
      </c>
      <c r="C53" s="15" t="s">
        <v>207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30" hidden="1">
      <c r="A54" s="20"/>
      <c r="B54" s="14" t="s">
        <v>237</v>
      </c>
      <c r="C54" s="15" t="s">
        <v>211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30" hidden="1">
      <c r="A55" s="20"/>
      <c r="B55" s="14" t="s">
        <v>238</v>
      </c>
      <c r="C55" s="15" t="s">
        <v>24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30" hidden="1">
      <c r="A56" s="20"/>
      <c r="B56" s="14" t="s">
        <v>239</v>
      </c>
      <c r="C56" s="15" t="s">
        <v>24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60" hidden="1">
      <c r="A57" s="20"/>
      <c r="B57" s="14" t="s">
        <v>240</v>
      </c>
      <c r="C57" s="15" t="s">
        <v>207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30" hidden="1">
      <c r="A58" s="20"/>
      <c r="B58" s="14" t="s">
        <v>241</v>
      </c>
      <c r="C58" s="15" t="s">
        <v>211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30" hidden="1">
      <c r="A59" s="20"/>
      <c r="B59" s="14" t="s">
        <v>242</v>
      </c>
      <c r="C59" s="15" t="s">
        <v>24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30" hidden="1">
      <c r="A60" s="20"/>
      <c r="B60" s="14" t="s">
        <v>243</v>
      </c>
      <c r="C60" s="15" t="s">
        <v>5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60" hidden="1">
      <c r="A61" s="20"/>
      <c r="B61" s="14" t="s">
        <v>244</v>
      </c>
      <c r="C61" s="28" t="s">
        <v>207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30" hidden="1">
      <c r="A62" s="20"/>
      <c r="B62" s="14" t="s">
        <v>245</v>
      </c>
      <c r="C62" s="28" t="s">
        <v>211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30" hidden="1">
      <c r="A63" s="20"/>
      <c r="B63" s="14" t="s">
        <v>246</v>
      </c>
      <c r="C63" s="28" t="s">
        <v>24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30" hidden="1">
      <c r="A64" s="20"/>
      <c r="B64" s="14" t="s">
        <v>247</v>
      </c>
      <c r="C64" s="28" t="s">
        <v>5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105" hidden="1">
      <c r="A65" s="20"/>
      <c r="B65" s="14" t="s">
        <v>55</v>
      </c>
      <c r="C65" s="28" t="s">
        <v>207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60" hidden="1">
      <c r="A66" s="20"/>
      <c r="B66" s="14" t="s">
        <v>248</v>
      </c>
      <c r="C66" s="28" t="s">
        <v>211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75" hidden="1">
      <c r="A67" s="20"/>
      <c r="B67" s="14" t="s">
        <v>249</v>
      </c>
      <c r="C67" s="28" t="s">
        <v>24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75" hidden="1">
      <c r="A68" s="20"/>
      <c r="B68" s="14" t="s">
        <v>250</v>
      </c>
      <c r="C68" s="28" t="s">
        <v>24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60" hidden="1">
      <c r="A69" s="20"/>
      <c r="B69" s="14" t="s">
        <v>251</v>
      </c>
      <c r="C69" s="28" t="s">
        <v>207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8" ht="30" hidden="1">
      <c r="A70" s="20"/>
      <c r="B70" s="14" t="s">
        <v>252</v>
      </c>
      <c r="C70" s="28" t="s">
        <v>211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30" hidden="1">
      <c r="A71" s="20"/>
      <c r="B71" s="14" t="s">
        <v>253</v>
      </c>
      <c r="C71" s="28" t="s">
        <v>24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30" hidden="1">
      <c r="A72" s="20"/>
      <c r="B72" s="14" t="s">
        <v>254</v>
      </c>
      <c r="C72" s="28" t="s">
        <v>5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75" hidden="1">
      <c r="A73" s="20"/>
      <c r="B73" s="14" t="s">
        <v>255</v>
      </c>
      <c r="C73" s="15" t="s">
        <v>207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45" hidden="1">
      <c r="A74" s="20"/>
      <c r="B74" s="14" t="s">
        <v>256</v>
      </c>
      <c r="C74" s="15" t="s">
        <v>211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45" hidden="1">
      <c r="A75" s="20"/>
      <c r="B75" s="14" t="s">
        <v>257</v>
      </c>
      <c r="C75" s="15" t="s">
        <v>24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ht="45" hidden="1">
      <c r="A76" s="20"/>
      <c r="B76" s="14" t="s">
        <v>258</v>
      </c>
      <c r="C76" s="15" t="s">
        <v>5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ht="60" hidden="1">
      <c r="A77" s="20"/>
      <c r="B77" s="14" t="s">
        <v>259</v>
      </c>
      <c r="C77" s="28" t="s">
        <v>207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30" hidden="1">
      <c r="A78" s="20"/>
      <c r="B78" s="14" t="s">
        <v>260</v>
      </c>
      <c r="C78" s="28" t="s">
        <v>211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30" hidden="1">
      <c r="A79" s="20"/>
      <c r="B79" s="14" t="s">
        <v>261</v>
      </c>
      <c r="C79" s="28" t="s">
        <v>24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30" hidden="1">
      <c r="A80" s="20"/>
      <c r="B80" s="14" t="s">
        <v>262</v>
      </c>
      <c r="C80" s="28" t="s">
        <v>5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75" hidden="1">
      <c r="A81" s="20"/>
      <c r="B81" s="14" t="s">
        <v>263</v>
      </c>
      <c r="C81" s="28" t="s">
        <v>207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45" hidden="1">
      <c r="A82" s="20"/>
      <c r="B82" s="14" t="s">
        <v>264</v>
      </c>
      <c r="C82" s="28" t="s">
        <v>211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45" hidden="1">
      <c r="A83" s="20"/>
      <c r="B83" s="14" t="s">
        <v>265</v>
      </c>
      <c r="C83" s="28" t="s">
        <v>24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</row>
    <row r="84" spans="1:18" ht="45" hidden="1">
      <c r="A84" s="20"/>
      <c r="B84" s="14" t="s">
        <v>266</v>
      </c>
      <c r="C84" s="28" t="s">
        <v>5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 ht="75" hidden="1">
      <c r="A85" s="20"/>
      <c r="B85" s="14" t="s">
        <v>267</v>
      </c>
      <c r="C85" s="15" t="s">
        <v>207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</row>
    <row r="86" spans="1:18" ht="45" hidden="1">
      <c r="A86" s="20"/>
      <c r="B86" s="14" t="s">
        <v>268</v>
      </c>
      <c r="C86" s="15" t="s">
        <v>211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ht="60" hidden="1">
      <c r="A87" s="20"/>
      <c r="B87" s="14" t="s">
        <v>269</v>
      </c>
      <c r="C87" s="15" t="s">
        <v>24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45" hidden="1">
      <c r="A88" s="20"/>
      <c r="B88" s="14" t="s">
        <v>270</v>
      </c>
      <c r="C88" s="15" t="s">
        <v>5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60" hidden="1">
      <c r="A89" s="20"/>
      <c r="B89" s="14" t="s">
        <v>271</v>
      </c>
      <c r="C89" s="28" t="s">
        <v>207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ht="30" hidden="1">
      <c r="A90" s="20"/>
      <c r="B90" s="14" t="s">
        <v>272</v>
      </c>
      <c r="C90" s="28" t="s">
        <v>211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45" hidden="1">
      <c r="A91" s="20"/>
      <c r="B91" s="14" t="s">
        <v>273</v>
      </c>
      <c r="C91" s="28" t="s">
        <v>24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30" hidden="1">
      <c r="A92" s="20"/>
      <c r="B92" s="14" t="s">
        <v>274</v>
      </c>
      <c r="C92" s="28" t="s">
        <v>24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75" hidden="1">
      <c r="A93" s="20"/>
      <c r="B93" s="14" t="s">
        <v>275</v>
      </c>
      <c r="C93" s="28" t="s">
        <v>207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45" hidden="1">
      <c r="A94" s="20"/>
      <c r="B94" s="14" t="s">
        <v>276</v>
      </c>
      <c r="C94" s="28" t="s">
        <v>211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8" ht="45" hidden="1">
      <c r="A95" s="20"/>
      <c r="B95" s="14" t="s">
        <v>277</v>
      </c>
      <c r="C95" s="28" t="s">
        <v>24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45" hidden="1">
      <c r="A96" s="20"/>
      <c r="B96" s="14" t="s">
        <v>278</v>
      </c>
      <c r="C96" s="28" t="s">
        <v>5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60" hidden="1">
      <c r="A97" s="20"/>
      <c r="B97" s="14" t="s">
        <v>279</v>
      </c>
      <c r="C97" s="28" t="s">
        <v>207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1:18" ht="30" hidden="1">
      <c r="A98" s="20"/>
      <c r="B98" s="14" t="s">
        <v>280</v>
      </c>
      <c r="C98" s="28" t="s">
        <v>211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ht="30" hidden="1">
      <c r="A99" s="20"/>
      <c r="B99" s="14" t="s">
        <v>281</v>
      </c>
      <c r="C99" s="28" t="s">
        <v>24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ht="30" hidden="1">
      <c r="A100" s="20"/>
      <c r="B100" s="14" t="s">
        <v>282</v>
      </c>
      <c r="C100" s="28" t="s">
        <v>5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1:18" ht="75" hidden="1">
      <c r="A101" s="20"/>
      <c r="B101" s="14" t="s">
        <v>283</v>
      </c>
      <c r="C101" s="15" t="s">
        <v>207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</row>
    <row r="102" spans="1:18" ht="45" hidden="1">
      <c r="A102" s="20"/>
      <c r="B102" s="14" t="s">
        <v>284</v>
      </c>
      <c r="C102" s="15" t="s">
        <v>211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45" hidden="1">
      <c r="A103" s="20"/>
      <c r="B103" s="14" t="s">
        <v>285</v>
      </c>
      <c r="C103" s="15" t="s">
        <v>24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1:18" ht="45" hidden="1">
      <c r="A104" s="20"/>
      <c r="B104" s="14" t="s">
        <v>286</v>
      </c>
      <c r="C104" s="15" t="s">
        <v>5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1:18" ht="75" hidden="1">
      <c r="A105" s="20"/>
      <c r="B105" s="14" t="s">
        <v>287</v>
      </c>
      <c r="C105" s="15" t="s">
        <v>207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ht="45" hidden="1">
      <c r="A106" s="20"/>
      <c r="B106" s="14" t="s">
        <v>288</v>
      </c>
      <c r="C106" s="15" t="s">
        <v>211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45" hidden="1">
      <c r="A107" s="20"/>
      <c r="B107" s="14" t="s">
        <v>289</v>
      </c>
      <c r="C107" s="15" t="s">
        <v>24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1:18" ht="45" hidden="1">
      <c r="A108" s="20"/>
      <c r="B108" s="14" t="s">
        <v>290</v>
      </c>
      <c r="C108" s="15" t="s">
        <v>5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60" hidden="1">
      <c r="A109" s="20"/>
      <c r="B109" s="14" t="s">
        <v>291</v>
      </c>
      <c r="C109" s="28" t="s">
        <v>207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 ht="30" hidden="1">
      <c r="A110" s="20"/>
      <c r="B110" s="14" t="s">
        <v>292</v>
      </c>
      <c r="C110" s="28" t="s">
        <v>211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1:18" ht="45" hidden="1">
      <c r="A111" s="20"/>
      <c r="B111" s="14" t="s">
        <v>293</v>
      </c>
      <c r="C111" s="28" t="s">
        <v>24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30" hidden="1">
      <c r="A112" s="20"/>
      <c r="B112" s="14" t="s">
        <v>294</v>
      </c>
      <c r="C112" s="28" t="s">
        <v>5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8" ht="75" hidden="1">
      <c r="A113" s="20"/>
      <c r="B113" s="14" t="s">
        <v>295</v>
      </c>
      <c r="C113" s="28" t="s">
        <v>207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1:18" ht="45" hidden="1">
      <c r="A114" s="20"/>
      <c r="B114" s="14" t="s">
        <v>296</v>
      </c>
      <c r="C114" s="28" t="s">
        <v>211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1:18" ht="45" hidden="1">
      <c r="A115" s="20"/>
      <c r="B115" s="14" t="s">
        <v>297</v>
      </c>
      <c r="C115" s="28" t="s">
        <v>24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</row>
    <row r="116" spans="1:18" ht="45" hidden="1">
      <c r="A116" s="20"/>
      <c r="B116" s="14" t="s">
        <v>298</v>
      </c>
      <c r="C116" s="28" t="s">
        <v>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8" ht="75" hidden="1">
      <c r="A117" s="20"/>
      <c r="B117" s="14" t="s">
        <v>299</v>
      </c>
      <c r="C117" s="15" t="s">
        <v>207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8" ht="45" hidden="1">
      <c r="A118" s="20"/>
      <c r="B118" s="14" t="s">
        <v>300</v>
      </c>
      <c r="C118" s="15" t="s">
        <v>211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8" ht="45" hidden="1">
      <c r="A119" s="20"/>
      <c r="B119" s="14" t="s">
        <v>301</v>
      </c>
      <c r="C119" s="15" t="s">
        <v>24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8" ht="45" hidden="1">
      <c r="A120" s="20"/>
      <c r="B120" s="14" t="s">
        <v>302</v>
      </c>
      <c r="C120" s="15" t="s">
        <v>5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18" ht="75" hidden="1">
      <c r="A121" s="20"/>
      <c r="B121" s="14" t="s">
        <v>303</v>
      </c>
      <c r="C121" s="15" t="s">
        <v>207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</row>
    <row r="122" spans="1:18" ht="45" hidden="1">
      <c r="A122" s="20"/>
      <c r="B122" s="14" t="s">
        <v>304</v>
      </c>
      <c r="C122" s="15" t="s">
        <v>211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</row>
    <row r="123" spans="1:18" ht="45" hidden="1">
      <c r="A123" s="20"/>
      <c r="B123" s="14" t="s">
        <v>305</v>
      </c>
      <c r="C123" s="15" t="s">
        <v>24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</row>
    <row r="124" spans="1:18" ht="45" hidden="1">
      <c r="A124" s="20"/>
      <c r="B124" s="14" t="s">
        <v>306</v>
      </c>
      <c r="C124" s="15" t="s">
        <v>5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</row>
    <row r="125" spans="1:18" ht="60" hidden="1">
      <c r="A125" s="20"/>
      <c r="B125" s="14" t="s">
        <v>307</v>
      </c>
      <c r="C125" s="15" t="s">
        <v>207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</row>
    <row r="126" spans="1:18" ht="30" hidden="1">
      <c r="A126" s="20"/>
      <c r="B126" s="14" t="s">
        <v>308</v>
      </c>
      <c r="C126" s="15" t="s">
        <v>211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</row>
    <row r="127" spans="1:18" ht="30" hidden="1">
      <c r="A127" s="20"/>
      <c r="B127" s="14" t="s">
        <v>309</v>
      </c>
      <c r="C127" s="15" t="s">
        <v>24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</row>
    <row r="128" spans="1:18" ht="30" hidden="1">
      <c r="A128" s="20"/>
      <c r="B128" s="14" t="s">
        <v>310</v>
      </c>
      <c r="C128" s="15" t="s">
        <v>5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</row>
    <row r="129" spans="1:18" ht="60" hidden="1">
      <c r="A129" s="20"/>
      <c r="B129" s="14" t="s">
        <v>311</v>
      </c>
      <c r="C129" s="15" t="s">
        <v>207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</row>
    <row r="130" spans="1:18" ht="30" hidden="1">
      <c r="A130" s="20"/>
      <c r="B130" s="14" t="s">
        <v>312</v>
      </c>
      <c r="C130" s="15" t="s">
        <v>211</v>
      </c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</row>
    <row r="131" spans="1:18" ht="30" hidden="1">
      <c r="A131" s="20"/>
      <c r="B131" s="14" t="s">
        <v>313</v>
      </c>
      <c r="C131" s="15" t="s">
        <v>24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</row>
    <row r="132" spans="1:18" ht="30" hidden="1">
      <c r="A132" s="20"/>
      <c r="B132" s="14" t="s">
        <v>314</v>
      </c>
      <c r="C132" s="15" t="s">
        <v>5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</row>
    <row r="133" spans="1:18" ht="60">
      <c r="A133" s="20"/>
      <c r="B133" s="14" t="s">
        <v>315</v>
      </c>
      <c r="C133" s="15" t="s">
        <v>207</v>
      </c>
      <c r="D133" s="53">
        <v>265</v>
      </c>
      <c r="E133" s="55">
        <v>318.5</v>
      </c>
      <c r="F133" s="55">
        <v>339</v>
      </c>
      <c r="G133" s="55">
        <v>362.3</v>
      </c>
      <c r="H133" s="55">
        <v>364.5</v>
      </c>
      <c r="I133" s="55">
        <v>388.8</v>
      </c>
      <c r="J133" s="55">
        <v>391.1</v>
      </c>
      <c r="K133" s="55">
        <v>418.3</v>
      </c>
      <c r="L133" s="55">
        <v>421.7</v>
      </c>
      <c r="M133" s="81">
        <f>SUM(K133)*1.056</f>
        <v>441.7248</v>
      </c>
      <c r="N133" s="81">
        <f>SUM(L133)*1.056</f>
        <v>445.3152</v>
      </c>
      <c r="O133" s="81">
        <f>SUM(M133)*1.064</f>
        <v>469.99518720000003</v>
      </c>
      <c r="P133" s="81">
        <f>SUM(N133)*1.066</f>
        <v>474.70600320000005</v>
      </c>
      <c r="Q133" s="81">
        <f>SUM(O133)*1.066</f>
        <v>501.01486955520005</v>
      </c>
      <c r="R133" s="81">
        <f>SUM(P133)*1.07</f>
        <v>507.9354234240001</v>
      </c>
    </row>
    <row r="134" spans="1:18" ht="30">
      <c r="A134" s="20"/>
      <c r="B134" s="14" t="s">
        <v>316</v>
      </c>
      <c r="C134" s="15" t="s">
        <v>211</v>
      </c>
      <c r="D134" s="28">
        <v>102.7</v>
      </c>
      <c r="E134" s="55">
        <f>E133/D133*100</f>
        <v>120.18867924528303</v>
      </c>
      <c r="F134" s="55">
        <f>F133/E133*100</f>
        <v>106.43642072213501</v>
      </c>
      <c r="G134" s="55">
        <f>G133/F133*100</f>
        <v>106.87315634218288</v>
      </c>
      <c r="H134" s="55">
        <f>H133/F133*100</f>
        <v>107.52212389380531</v>
      </c>
      <c r="I134" s="55">
        <f>I133/G133*100</f>
        <v>107.3143803477781</v>
      </c>
      <c r="J134" s="55">
        <f>J133/H133*100</f>
        <v>107.29766803840879</v>
      </c>
      <c r="K134" s="55">
        <f>K133/I133*100</f>
        <v>107.58744855967078</v>
      </c>
      <c r="L134" s="55">
        <f>L133/J133*100</f>
        <v>107.82408591153157</v>
      </c>
      <c r="M134" s="55">
        <f aca="true" t="shared" si="10" ref="M134:R134">M133/K133*100</f>
        <v>105.60000000000001</v>
      </c>
      <c r="N134" s="55">
        <f t="shared" si="10"/>
        <v>105.60000000000001</v>
      </c>
      <c r="O134" s="55">
        <f t="shared" si="10"/>
        <v>106.4</v>
      </c>
      <c r="P134" s="55">
        <f t="shared" si="10"/>
        <v>106.60000000000001</v>
      </c>
      <c r="Q134" s="55">
        <f t="shared" si="10"/>
        <v>106.60000000000001</v>
      </c>
      <c r="R134" s="55">
        <f t="shared" si="10"/>
        <v>107</v>
      </c>
    </row>
    <row r="135" spans="1:18" ht="30">
      <c r="A135" s="20"/>
      <c r="B135" s="14" t="s">
        <v>317</v>
      </c>
      <c r="C135" s="15" t="s">
        <v>24</v>
      </c>
      <c r="D135" s="53">
        <v>105.9</v>
      </c>
      <c r="E135" s="55">
        <v>104.5</v>
      </c>
      <c r="F135" s="55">
        <v>105.5</v>
      </c>
      <c r="G135" s="55">
        <v>105.5</v>
      </c>
      <c r="H135" s="55">
        <v>105.6</v>
      </c>
      <c r="I135" s="55">
        <v>105.6</v>
      </c>
      <c r="J135" s="55">
        <v>105.4</v>
      </c>
      <c r="K135" s="55">
        <v>105.6</v>
      </c>
      <c r="L135" s="55">
        <v>105.4</v>
      </c>
      <c r="M135" s="7">
        <v>103.1</v>
      </c>
      <c r="N135" s="7">
        <v>103.2</v>
      </c>
      <c r="O135" s="7">
        <v>103.9</v>
      </c>
      <c r="P135" s="7">
        <v>104</v>
      </c>
      <c r="Q135" s="7">
        <v>103.9</v>
      </c>
      <c r="R135" s="7">
        <v>104</v>
      </c>
    </row>
    <row r="136" spans="1:18" ht="30">
      <c r="A136" s="20"/>
      <c r="B136" s="14" t="s">
        <v>318</v>
      </c>
      <c r="C136" s="15" t="s">
        <v>5</v>
      </c>
      <c r="D136" s="53">
        <v>97</v>
      </c>
      <c r="E136" s="55">
        <v>115</v>
      </c>
      <c r="F136" s="55">
        <v>100.9</v>
      </c>
      <c r="G136" s="55">
        <v>101.3</v>
      </c>
      <c r="H136" s="55">
        <v>101.5</v>
      </c>
      <c r="I136" s="55">
        <v>101.6</v>
      </c>
      <c r="J136" s="55">
        <v>101.8</v>
      </c>
      <c r="K136" s="81">
        <f aca="true" t="shared" si="11" ref="K136:R136">SUM(K133/I133)*10000/K135</f>
        <v>101.8820535602943</v>
      </c>
      <c r="L136" s="81">
        <f t="shared" si="11"/>
        <v>102.29989175667131</v>
      </c>
      <c r="M136" s="81">
        <f t="shared" si="11"/>
        <v>102.42483026188168</v>
      </c>
      <c r="N136" s="81">
        <f t="shared" si="11"/>
        <v>102.32558139534883</v>
      </c>
      <c r="O136" s="81">
        <f t="shared" si="11"/>
        <v>102.40615976900865</v>
      </c>
      <c r="P136" s="81">
        <f t="shared" si="11"/>
        <v>102.5</v>
      </c>
      <c r="Q136" s="81">
        <f t="shared" si="11"/>
        <v>102.59865255052935</v>
      </c>
      <c r="R136" s="81">
        <f t="shared" si="11"/>
        <v>102.88461538461539</v>
      </c>
    </row>
    <row r="137" spans="1:18" ht="42.75">
      <c r="A137" s="33" t="s">
        <v>336</v>
      </c>
      <c r="B137" s="26" t="s">
        <v>319</v>
      </c>
      <c r="C137" s="2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</row>
    <row r="138" spans="1:18" ht="75">
      <c r="A138" s="20"/>
      <c r="B138" s="14" t="s">
        <v>320</v>
      </c>
      <c r="C138" s="28" t="s">
        <v>207</v>
      </c>
      <c r="D138" s="28">
        <v>524.1</v>
      </c>
      <c r="E138" s="55">
        <v>511</v>
      </c>
      <c r="F138" s="55">
        <v>524.3</v>
      </c>
      <c r="G138" s="55">
        <v>558.2</v>
      </c>
      <c r="H138" s="55">
        <v>560.9</v>
      </c>
      <c r="I138" s="55">
        <v>586.3</v>
      </c>
      <c r="J138" s="55">
        <v>592.1</v>
      </c>
      <c r="K138" s="55">
        <v>615.8</v>
      </c>
      <c r="L138" s="55">
        <v>625</v>
      </c>
      <c r="M138" s="81">
        <f>SUM(K138)*1.05</f>
        <v>646.59</v>
      </c>
      <c r="N138" s="81">
        <f>SUM(L138)*1.056</f>
        <v>660</v>
      </c>
      <c r="O138" s="81">
        <f>SUM(M138)*1.05</f>
        <v>678.9195000000001</v>
      </c>
      <c r="P138" s="81">
        <f>SUM(N138)*1.056</f>
        <v>696.96</v>
      </c>
      <c r="Q138" s="81">
        <f>SUM(O138)*1.05</f>
        <v>712.8654750000002</v>
      </c>
      <c r="R138" s="81">
        <f>SUM(P138)*1.057</f>
        <v>736.68672</v>
      </c>
    </row>
    <row r="139" spans="1:18" ht="45">
      <c r="A139" s="20"/>
      <c r="B139" s="14" t="s">
        <v>321</v>
      </c>
      <c r="C139" s="28" t="s">
        <v>211</v>
      </c>
      <c r="D139" s="28">
        <v>102.7</v>
      </c>
      <c r="E139" s="55">
        <f>E138/D138*100</f>
        <v>97.50047700820453</v>
      </c>
      <c r="F139" s="55">
        <f>F138/E138*100</f>
        <v>102.60273972602738</v>
      </c>
      <c r="G139" s="55">
        <f>G138/F138*100</f>
        <v>106.46576387564373</v>
      </c>
      <c r="H139" s="55">
        <f>H138/F138*100</f>
        <v>106.98073621972154</v>
      </c>
      <c r="I139" s="55">
        <f>I138/G138*100</f>
        <v>105.03403797921891</v>
      </c>
      <c r="J139" s="55">
        <f>J138/H138*100</f>
        <v>105.56248885719381</v>
      </c>
      <c r="K139" s="55">
        <f>K138/I138*100</f>
        <v>105.03155381204161</v>
      </c>
      <c r="L139" s="55">
        <f>L138/J138*100</f>
        <v>105.55649383550076</v>
      </c>
      <c r="M139" s="55">
        <f aca="true" t="shared" si="12" ref="M139:R139">M138/K138*100</f>
        <v>105</v>
      </c>
      <c r="N139" s="55">
        <f t="shared" si="12"/>
        <v>105.60000000000001</v>
      </c>
      <c r="O139" s="55">
        <f t="shared" si="12"/>
        <v>105</v>
      </c>
      <c r="P139" s="55">
        <f t="shared" si="12"/>
        <v>105.60000000000001</v>
      </c>
      <c r="Q139" s="55">
        <f t="shared" si="12"/>
        <v>105</v>
      </c>
      <c r="R139" s="55">
        <f t="shared" si="12"/>
        <v>105.69999999999999</v>
      </c>
    </row>
    <row r="140" spans="1:18" ht="45">
      <c r="A140" s="20"/>
      <c r="B140" s="14" t="s">
        <v>322</v>
      </c>
      <c r="C140" s="28" t="s">
        <v>24</v>
      </c>
      <c r="D140" s="28">
        <v>105.3</v>
      </c>
      <c r="E140" s="55">
        <v>105.4</v>
      </c>
      <c r="F140" s="55">
        <v>104.7</v>
      </c>
      <c r="G140" s="55">
        <v>105.4</v>
      </c>
      <c r="H140" s="55">
        <v>105.4</v>
      </c>
      <c r="I140" s="55">
        <v>104</v>
      </c>
      <c r="J140" s="55">
        <v>104</v>
      </c>
      <c r="K140" s="55">
        <v>104</v>
      </c>
      <c r="L140" s="55">
        <v>104</v>
      </c>
      <c r="M140" s="55">
        <v>104</v>
      </c>
      <c r="N140" s="55">
        <v>104</v>
      </c>
      <c r="O140" s="55">
        <v>104</v>
      </c>
      <c r="P140" s="55">
        <v>104</v>
      </c>
      <c r="Q140" s="55">
        <v>104</v>
      </c>
      <c r="R140" s="55">
        <v>104</v>
      </c>
    </row>
    <row r="141" spans="1:18" ht="45">
      <c r="A141" s="20"/>
      <c r="B141" s="14" t="s">
        <v>56</v>
      </c>
      <c r="C141" s="28" t="s">
        <v>5</v>
      </c>
      <c r="D141" s="28">
        <v>89</v>
      </c>
      <c r="E141" s="55">
        <v>92.5</v>
      </c>
      <c r="F141" s="55">
        <v>98</v>
      </c>
      <c r="G141" s="55">
        <v>101</v>
      </c>
      <c r="H141" s="55">
        <v>101.5</v>
      </c>
      <c r="I141" s="55">
        <v>101</v>
      </c>
      <c r="J141" s="55">
        <v>101.5</v>
      </c>
      <c r="K141" s="55">
        <v>101</v>
      </c>
      <c r="L141" s="55">
        <v>101.5</v>
      </c>
      <c r="M141" s="81">
        <f aca="true" t="shared" si="13" ref="M141:R141">SUM(M139)/M140*100</f>
        <v>100.96153846153845</v>
      </c>
      <c r="N141" s="81">
        <f t="shared" si="13"/>
        <v>101.53846153846156</v>
      </c>
      <c r="O141" s="81">
        <f t="shared" si="13"/>
        <v>100.96153846153845</v>
      </c>
      <c r="P141" s="81">
        <f t="shared" si="13"/>
        <v>101.53846153846156</v>
      </c>
      <c r="Q141" s="81">
        <f t="shared" si="13"/>
        <v>100.96153846153845</v>
      </c>
      <c r="R141" s="81">
        <f t="shared" si="13"/>
        <v>101.63461538461537</v>
      </c>
    </row>
    <row r="142" spans="1:18" ht="57">
      <c r="A142" s="33" t="s">
        <v>340</v>
      </c>
      <c r="B142" s="26" t="s">
        <v>57</v>
      </c>
      <c r="C142" s="2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</row>
    <row r="143" spans="1:18" ht="90">
      <c r="A143" s="20"/>
      <c r="B143" s="14" t="s">
        <v>58</v>
      </c>
      <c r="C143" s="28" t="s">
        <v>207</v>
      </c>
      <c r="D143" s="28">
        <v>125.9</v>
      </c>
      <c r="E143" s="55">
        <v>126.7</v>
      </c>
      <c r="F143" s="55">
        <v>131.5</v>
      </c>
      <c r="G143" s="55">
        <v>137.5</v>
      </c>
      <c r="H143" s="55">
        <v>137.9</v>
      </c>
      <c r="I143" s="55">
        <v>144.4</v>
      </c>
      <c r="J143" s="55">
        <v>145.5</v>
      </c>
      <c r="K143" s="55">
        <v>152.4</v>
      </c>
      <c r="L143" s="55">
        <v>154.2</v>
      </c>
      <c r="M143" s="81">
        <f>SUM(K143)*1.055</f>
        <v>160.782</v>
      </c>
      <c r="N143" s="81">
        <f>SUM(L143)*1.06</f>
        <v>163.452</v>
      </c>
      <c r="O143" s="81">
        <f>SUM(M143)*1.055</f>
        <v>169.62501</v>
      </c>
      <c r="P143" s="81">
        <f>SUM(N143)*1.06</f>
        <v>173.25912</v>
      </c>
      <c r="Q143" s="81">
        <f>SUM(O143)*1.055</f>
        <v>178.95438554999998</v>
      </c>
      <c r="R143" s="81">
        <f>SUM(P143)*1.06</f>
        <v>183.6546672</v>
      </c>
    </row>
    <row r="144" spans="1:18" ht="60">
      <c r="A144" s="20"/>
      <c r="B144" s="14" t="s">
        <v>323</v>
      </c>
      <c r="C144" s="28" t="s">
        <v>211</v>
      </c>
      <c r="D144" s="28">
        <v>102.7</v>
      </c>
      <c r="E144" s="55">
        <f>E143/D143*100</f>
        <v>100.63542494042892</v>
      </c>
      <c r="F144" s="55">
        <f>F143/E143*100</f>
        <v>103.7884767166535</v>
      </c>
      <c r="G144" s="55">
        <f>G143/F143*100</f>
        <v>104.56273764258555</v>
      </c>
      <c r="H144" s="55">
        <f>H143/F143*100</f>
        <v>104.86692015209127</v>
      </c>
      <c r="I144" s="55">
        <f>I143/G143*100</f>
        <v>105.01818181818183</v>
      </c>
      <c r="J144" s="55">
        <f>J143/H143*100</f>
        <v>105.51124002900652</v>
      </c>
      <c r="K144" s="55">
        <f>K143/I143*100</f>
        <v>105.54016620498614</v>
      </c>
      <c r="L144" s="55">
        <f>L143/J143*100</f>
        <v>105.97938144329898</v>
      </c>
      <c r="M144" s="55">
        <f aca="true" t="shared" si="14" ref="M144:R144">M143/K143*100</f>
        <v>105.5</v>
      </c>
      <c r="N144" s="55">
        <f t="shared" si="14"/>
        <v>106</v>
      </c>
      <c r="O144" s="55">
        <f t="shared" si="14"/>
        <v>105.5</v>
      </c>
      <c r="P144" s="55">
        <f t="shared" si="14"/>
        <v>106</v>
      </c>
      <c r="Q144" s="55">
        <f t="shared" si="14"/>
        <v>105.5</v>
      </c>
      <c r="R144" s="55">
        <f t="shared" si="14"/>
        <v>106</v>
      </c>
    </row>
    <row r="145" spans="1:18" ht="60">
      <c r="A145" s="20"/>
      <c r="B145" s="14" t="s">
        <v>324</v>
      </c>
      <c r="C145" s="28" t="s">
        <v>24</v>
      </c>
      <c r="D145" s="28">
        <v>99.7</v>
      </c>
      <c r="E145" s="55">
        <v>107.4</v>
      </c>
      <c r="F145" s="55">
        <v>103.7</v>
      </c>
      <c r="G145" s="55">
        <v>104</v>
      </c>
      <c r="H145" s="55">
        <v>104</v>
      </c>
      <c r="I145" s="55">
        <v>104</v>
      </c>
      <c r="J145" s="55">
        <v>104</v>
      </c>
      <c r="K145" s="55">
        <v>104</v>
      </c>
      <c r="L145" s="55">
        <v>104</v>
      </c>
      <c r="M145" s="55">
        <v>104</v>
      </c>
      <c r="N145" s="55">
        <v>104</v>
      </c>
      <c r="O145" s="55">
        <v>104</v>
      </c>
      <c r="P145" s="55">
        <v>104</v>
      </c>
      <c r="Q145" s="55">
        <v>104</v>
      </c>
      <c r="R145" s="55">
        <v>104</v>
      </c>
    </row>
    <row r="146" spans="1:18" ht="60">
      <c r="A146" s="20"/>
      <c r="B146" s="14" t="s">
        <v>59</v>
      </c>
      <c r="C146" s="28" t="s">
        <v>5</v>
      </c>
      <c r="D146" s="28">
        <v>100.2</v>
      </c>
      <c r="E146" s="55">
        <v>93.7</v>
      </c>
      <c r="F146" s="55">
        <v>100.1</v>
      </c>
      <c r="G146" s="55">
        <v>100.5</v>
      </c>
      <c r="H146" s="55">
        <v>100.8</v>
      </c>
      <c r="I146" s="55">
        <v>101</v>
      </c>
      <c r="J146" s="55">
        <v>101.5</v>
      </c>
      <c r="K146" s="55">
        <v>101.5</v>
      </c>
      <c r="L146" s="81">
        <f aca="true" t="shared" si="15" ref="L146:R146">SUM(L144)/L145*100</f>
        <v>101.90325138778749</v>
      </c>
      <c r="M146" s="81">
        <f t="shared" si="15"/>
        <v>101.4423076923077</v>
      </c>
      <c r="N146" s="81">
        <f t="shared" si="15"/>
        <v>101.92307692307692</v>
      </c>
      <c r="O146" s="81">
        <f t="shared" si="15"/>
        <v>101.4423076923077</v>
      </c>
      <c r="P146" s="81">
        <f t="shared" si="15"/>
        <v>101.92307692307692</v>
      </c>
      <c r="Q146" s="81">
        <f t="shared" si="15"/>
        <v>101.4423076923077</v>
      </c>
      <c r="R146" s="81">
        <f t="shared" si="15"/>
        <v>101.92307692307692</v>
      </c>
    </row>
    <row r="147" spans="1:18" s="18" customFormat="1" ht="15">
      <c r="A147" s="35" t="s">
        <v>204</v>
      </c>
      <c r="B147" s="32" t="s">
        <v>341</v>
      </c>
      <c r="C147" s="3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5">
      <c r="A148" s="20"/>
      <c r="B148" s="29" t="s">
        <v>1</v>
      </c>
      <c r="C148" s="30" t="s">
        <v>2</v>
      </c>
      <c r="D148" s="87">
        <f>SUM(D152+D155)</f>
        <v>269.2</v>
      </c>
      <c r="E148" s="87">
        <f>SUM(E152+E155)</f>
        <v>276.3</v>
      </c>
      <c r="F148" s="88">
        <f>SUM(F152+F155)</f>
        <v>266.3532</v>
      </c>
      <c r="G148" s="88">
        <f aca="true" t="shared" si="16" ref="G148:R148">SUM(G152+G155)</f>
        <v>270.348498</v>
      </c>
      <c r="H148" s="88">
        <f t="shared" si="16"/>
        <v>271.680264</v>
      </c>
      <c r="I148" s="88">
        <f t="shared" si="16"/>
        <v>275.75546796000003</v>
      </c>
      <c r="J148" s="88">
        <f t="shared" si="16"/>
        <v>279.83067192000004</v>
      </c>
      <c r="K148" s="88">
        <f t="shared" si="16"/>
        <v>280.71906638328005</v>
      </c>
      <c r="L148" s="88">
        <f t="shared" si="16"/>
        <v>286.54660804608005</v>
      </c>
      <c r="M148" s="88">
        <f t="shared" si="16"/>
        <v>303.33323293298434</v>
      </c>
      <c r="N148" s="88">
        <f t="shared" si="16"/>
        <v>309.63022969705617</v>
      </c>
      <c r="O148" s="88">
        <f t="shared" si="16"/>
        <v>328.71615786481647</v>
      </c>
      <c r="P148" s="88">
        <f t="shared" si="16"/>
        <v>335.54008731810586</v>
      </c>
      <c r="Q148" s="88">
        <f t="shared" si="16"/>
        <v>357.2506926644297</v>
      </c>
      <c r="R148" s="88">
        <f t="shared" si="16"/>
        <v>364.6669801378414</v>
      </c>
    </row>
    <row r="149" spans="1:18" ht="30">
      <c r="A149" s="20"/>
      <c r="B149" s="25" t="s">
        <v>3</v>
      </c>
      <c r="C149" s="28" t="s">
        <v>5</v>
      </c>
      <c r="D149" s="15">
        <v>117</v>
      </c>
      <c r="E149" s="89">
        <f>E148/D148*100</f>
        <v>102.63744427934623</v>
      </c>
      <c r="F149" s="90">
        <f>SUM(F148/E148/F150*10000)</f>
        <v>96.39999999999999</v>
      </c>
      <c r="G149" s="90">
        <f>SUM(G148/F148/G150*10000)</f>
        <v>101.5</v>
      </c>
      <c r="H149" s="90">
        <f>SUM(H148/F148/H150*10000)</f>
        <v>102.00000000000001</v>
      </c>
      <c r="I149" s="90">
        <f>SUM(I148/G148/I150*10000)</f>
        <v>102.00000000000001</v>
      </c>
      <c r="J149" s="90">
        <f>SUM(J148/H148/J150*10000)</f>
        <v>103</v>
      </c>
      <c r="K149" s="90">
        <f>SUM(K148/I148/K150*10000)</f>
        <v>101.8</v>
      </c>
      <c r="L149" s="90">
        <f>SUM(L148/J148/L150*10000)</f>
        <v>102.4</v>
      </c>
      <c r="M149" s="90">
        <f aca="true" t="shared" si="17" ref="M149:R149">SUM(M148/K148/M150*10000)</f>
        <v>104.10000000000001</v>
      </c>
      <c r="N149" s="90">
        <f t="shared" si="17"/>
        <v>104.1</v>
      </c>
      <c r="O149" s="90">
        <f t="shared" si="17"/>
        <v>104.2</v>
      </c>
      <c r="P149" s="90">
        <f t="shared" si="17"/>
        <v>104.20000000000002</v>
      </c>
      <c r="Q149" s="90">
        <f t="shared" si="17"/>
        <v>104.29999999999998</v>
      </c>
      <c r="R149" s="90">
        <f t="shared" si="17"/>
        <v>104.30000000000001</v>
      </c>
    </row>
    <row r="150" spans="1:18" ht="30">
      <c r="A150" s="20"/>
      <c r="B150" s="25" t="s">
        <v>325</v>
      </c>
      <c r="C150" s="28" t="s">
        <v>24</v>
      </c>
      <c r="D150" s="77">
        <v>100</v>
      </c>
      <c r="E150" s="77">
        <v>100</v>
      </c>
      <c r="F150" s="77">
        <v>100</v>
      </c>
      <c r="G150" s="77">
        <v>100</v>
      </c>
      <c r="H150" s="77">
        <v>100</v>
      </c>
      <c r="I150" s="77">
        <v>100</v>
      </c>
      <c r="J150" s="77">
        <v>100</v>
      </c>
      <c r="K150" s="77">
        <v>100</v>
      </c>
      <c r="L150" s="77">
        <v>100</v>
      </c>
      <c r="M150" s="55">
        <f aca="true" t="shared" si="18" ref="M150:R150">SUM(M157)</f>
        <v>103.8</v>
      </c>
      <c r="N150" s="55">
        <f t="shared" si="18"/>
        <v>103.8</v>
      </c>
      <c r="O150" s="55">
        <f t="shared" si="18"/>
        <v>104</v>
      </c>
      <c r="P150" s="55">
        <f t="shared" si="18"/>
        <v>104</v>
      </c>
      <c r="Q150" s="55">
        <f t="shared" si="18"/>
        <v>104.2</v>
      </c>
      <c r="R150" s="55">
        <f t="shared" si="18"/>
        <v>104.2</v>
      </c>
    </row>
    <row r="151" spans="1:18" ht="30">
      <c r="A151" s="20"/>
      <c r="B151" s="25" t="s">
        <v>60</v>
      </c>
      <c r="C151" s="28"/>
      <c r="D151" s="15"/>
      <c r="E151" s="90"/>
      <c r="F151" s="90"/>
      <c r="G151" s="90"/>
      <c r="H151" s="90"/>
      <c r="I151" s="90"/>
      <c r="J151" s="90"/>
      <c r="K151" s="90"/>
      <c r="L151" s="90"/>
      <c r="M151" s="48"/>
      <c r="N151" s="48"/>
      <c r="O151" s="48"/>
      <c r="P151" s="48"/>
      <c r="Q151" s="48"/>
      <c r="R151" s="48"/>
    </row>
    <row r="152" spans="1:18" ht="15">
      <c r="A152" s="20"/>
      <c r="B152" s="25" t="s">
        <v>61</v>
      </c>
      <c r="C152" s="28" t="s">
        <v>326</v>
      </c>
      <c r="D152" s="84">
        <v>0</v>
      </c>
      <c r="E152" s="89">
        <v>0</v>
      </c>
      <c r="F152" s="89">
        <f aca="true" t="shared" si="19" ref="F152:G154">SUM(E152*F153*F154/10000)</f>
        <v>0</v>
      </c>
      <c r="G152" s="89">
        <f t="shared" si="19"/>
        <v>0</v>
      </c>
      <c r="H152" s="89">
        <f aca="true" t="shared" si="20" ref="H152:L154">SUM(F152*H153*H154/10000)</f>
        <v>0</v>
      </c>
      <c r="I152" s="89">
        <f t="shared" si="20"/>
        <v>0</v>
      </c>
      <c r="J152" s="89">
        <f t="shared" si="20"/>
        <v>0</v>
      </c>
      <c r="K152" s="89">
        <f t="shared" si="20"/>
        <v>0</v>
      </c>
      <c r="L152" s="89">
        <f t="shared" si="20"/>
        <v>0</v>
      </c>
      <c r="M152" s="89">
        <f aca="true" t="shared" si="21" ref="M152:R154">SUM(K152*M153*M154/10000)</f>
        <v>0</v>
      </c>
      <c r="N152" s="89">
        <f t="shared" si="21"/>
        <v>0</v>
      </c>
      <c r="O152" s="89">
        <f t="shared" si="21"/>
        <v>0</v>
      </c>
      <c r="P152" s="89">
        <f t="shared" si="21"/>
        <v>0</v>
      </c>
      <c r="Q152" s="89">
        <f t="shared" si="21"/>
        <v>0</v>
      </c>
      <c r="R152" s="89">
        <f t="shared" si="21"/>
        <v>0</v>
      </c>
    </row>
    <row r="153" spans="1:18" ht="30">
      <c r="A153" s="20"/>
      <c r="B153" s="25" t="s">
        <v>62</v>
      </c>
      <c r="C153" s="28" t="s">
        <v>5</v>
      </c>
      <c r="D153" s="84">
        <v>0</v>
      </c>
      <c r="E153" s="89">
        <v>0</v>
      </c>
      <c r="F153" s="89">
        <f t="shared" si="19"/>
        <v>0</v>
      </c>
      <c r="G153" s="89">
        <f t="shared" si="19"/>
        <v>0</v>
      </c>
      <c r="H153" s="89">
        <f t="shared" si="20"/>
        <v>0</v>
      </c>
      <c r="I153" s="89">
        <f t="shared" si="20"/>
        <v>0</v>
      </c>
      <c r="J153" s="89">
        <f t="shared" si="20"/>
        <v>0</v>
      </c>
      <c r="K153" s="89">
        <f t="shared" si="20"/>
        <v>0</v>
      </c>
      <c r="L153" s="89">
        <f t="shared" si="20"/>
        <v>0</v>
      </c>
      <c r="M153" s="89">
        <f t="shared" si="21"/>
        <v>0</v>
      </c>
      <c r="N153" s="89">
        <f t="shared" si="21"/>
        <v>0</v>
      </c>
      <c r="O153" s="89">
        <f t="shared" si="21"/>
        <v>0</v>
      </c>
      <c r="P153" s="89">
        <f t="shared" si="21"/>
        <v>0</v>
      </c>
      <c r="Q153" s="89">
        <f t="shared" si="21"/>
        <v>0</v>
      </c>
      <c r="R153" s="89">
        <f t="shared" si="21"/>
        <v>0</v>
      </c>
    </row>
    <row r="154" spans="1:18" ht="30">
      <c r="A154" s="20"/>
      <c r="B154" s="25" t="s">
        <v>327</v>
      </c>
      <c r="C154" s="28" t="s">
        <v>24</v>
      </c>
      <c r="D154" s="84">
        <v>0</v>
      </c>
      <c r="E154" s="89">
        <v>0</v>
      </c>
      <c r="F154" s="89">
        <f t="shared" si="19"/>
        <v>0</v>
      </c>
      <c r="G154" s="89">
        <f t="shared" si="19"/>
        <v>0</v>
      </c>
      <c r="H154" s="89">
        <f t="shared" si="20"/>
        <v>0</v>
      </c>
      <c r="I154" s="89">
        <f t="shared" si="20"/>
        <v>0</v>
      </c>
      <c r="J154" s="89">
        <f t="shared" si="20"/>
        <v>0</v>
      </c>
      <c r="K154" s="89">
        <f t="shared" si="20"/>
        <v>0</v>
      </c>
      <c r="L154" s="89">
        <f t="shared" si="20"/>
        <v>0</v>
      </c>
      <c r="M154" s="89">
        <f t="shared" si="21"/>
        <v>0</v>
      </c>
      <c r="N154" s="89">
        <f t="shared" si="21"/>
        <v>0</v>
      </c>
      <c r="O154" s="89">
        <f t="shared" si="21"/>
        <v>0</v>
      </c>
      <c r="P154" s="89">
        <f t="shared" si="21"/>
        <v>0</v>
      </c>
      <c r="Q154" s="89">
        <f t="shared" si="21"/>
        <v>0</v>
      </c>
      <c r="R154" s="89">
        <f t="shared" si="21"/>
        <v>0</v>
      </c>
    </row>
    <row r="155" spans="1:18" ht="15">
      <c r="A155" s="20"/>
      <c r="B155" s="25" t="s">
        <v>63</v>
      </c>
      <c r="C155" s="28" t="s">
        <v>326</v>
      </c>
      <c r="D155" s="89">
        <v>269.2</v>
      </c>
      <c r="E155" s="89">
        <v>276.3</v>
      </c>
      <c r="F155" s="89">
        <f>E155*F156*F157/100/100</f>
        <v>266.3532</v>
      </c>
      <c r="G155" s="89">
        <f>F155*G156*G157/100/100</f>
        <v>270.348498</v>
      </c>
      <c r="H155" s="89">
        <f>F155*H156*H157/100/100</f>
        <v>271.680264</v>
      </c>
      <c r="I155" s="89">
        <f>G155*I156*I157/100/100</f>
        <v>275.75546796000003</v>
      </c>
      <c r="J155" s="89">
        <f>H155*J156*J157/100/100</f>
        <v>279.83067192000004</v>
      </c>
      <c r="K155" s="89">
        <f>I155*K156*K157/100/100</f>
        <v>280.71906638328005</v>
      </c>
      <c r="L155" s="89">
        <f>J155*L156*L157/100/100</f>
        <v>286.54660804608005</v>
      </c>
      <c r="M155" s="89">
        <f aca="true" t="shared" si="22" ref="M155:R155">K155*M156*M157/100/100</f>
        <v>303.33323293298434</v>
      </c>
      <c r="N155" s="89">
        <f t="shared" si="22"/>
        <v>309.63022969705617</v>
      </c>
      <c r="O155" s="89">
        <f t="shared" si="22"/>
        <v>328.71615786481647</v>
      </c>
      <c r="P155" s="89">
        <f t="shared" si="22"/>
        <v>335.54008731810586</v>
      </c>
      <c r="Q155" s="89">
        <f t="shared" si="22"/>
        <v>357.2506926644297</v>
      </c>
      <c r="R155" s="89">
        <f t="shared" si="22"/>
        <v>364.6669801378414</v>
      </c>
    </row>
    <row r="156" spans="1:18" ht="30">
      <c r="A156" s="20"/>
      <c r="B156" s="25" t="s">
        <v>64</v>
      </c>
      <c r="C156" s="28" t="s">
        <v>5</v>
      </c>
      <c r="D156" s="89">
        <v>117</v>
      </c>
      <c r="E156" s="89">
        <f>E155/D155*100</f>
        <v>102.63744427934623</v>
      </c>
      <c r="F156" s="89">
        <v>96.4</v>
      </c>
      <c r="G156" s="89">
        <v>101.5</v>
      </c>
      <c r="H156" s="89">
        <v>102</v>
      </c>
      <c r="I156" s="89">
        <v>102</v>
      </c>
      <c r="J156" s="89">
        <v>103</v>
      </c>
      <c r="K156" s="89">
        <v>101.8</v>
      </c>
      <c r="L156" s="89">
        <v>102.4</v>
      </c>
      <c r="M156" s="48">
        <v>104.1</v>
      </c>
      <c r="N156" s="48">
        <v>104.1</v>
      </c>
      <c r="O156" s="48">
        <v>104.2</v>
      </c>
      <c r="P156" s="48">
        <v>104.2</v>
      </c>
      <c r="Q156" s="48">
        <v>104.3</v>
      </c>
      <c r="R156" s="48">
        <v>104.3</v>
      </c>
    </row>
    <row r="157" spans="1:18" ht="30">
      <c r="A157" s="20"/>
      <c r="B157" s="25" t="s">
        <v>328</v>
      </c>
      <c r="C157" s="28" t="s">
        <v>24</v>
      </c>
      <c r="D157" s="77">
        <v>100</v>
      </c>
      <c r="E157" s="77">
        <v>100</v>
      </c>
      <c r="F157" s="77">
        <v>100</v>
      </c>
      <c r="G157" s="77">
        <v>100</v>
      </c>
      <c r="H157" s="77">
        <v>100</v>
      </c>
      <c r="I157" s="77">
        <v>100</v>
      </c>
      <c r="J157" s="77">
        <v>100</v>
      </c>
      <c r="K157" s="77">
        <v>100</v>
      </c>
      <c r="L157" s="77">
        <v>100</v>
      </c>
      <c r="M157" s="7">
        <v>103.8</v>
      </c>
      <c r="N157" s="7">
        <v>103.8</v>
      </c>
      <c r="O157" s="7">
        <v>104</v>
      </c>
      <c r="P157" s="7">
        <v>104</v>
      </c>
      <c r="Q157" s="7">
        <v>104.2</v>
      </c>
      <c r="R157" s="7">
        <v>104.2</v>
      </c>
    </row>
    <row r="158" spans="1:18" s="18" customFormat="1" ht="28.5">
      <c r="A158" s="35" t="s">
        <v>342</v>
      </c>
      <c r="B158" s="32" t="s">
        <v>343</v>
      </c>
      <c r="C158" s="3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5">
      <c r="A159" s="20"/>
      <c r="B159" s="25" t="s">
        <v>67</v>
      </c>
      <c r="C159" s="28" t="s">
        <v>66</v>
      </c>
      <c r="D159" s="91">
        <v>5.27</v>
      </c>
      <c r="E159" s="70">
        <v>4.781</v>
      </c>
      <c r="F159" s="70">
        <v>4.79</v>
      </c>
      <c r="G159" s="70">
        <f>F159*1.003</f>
        <v>4.80437</v>
      </c>
      <c r="H159" s="70">
        <f>F159*1.005</f>
        <v>4.813949999999999</v>
      </c>
      <c r="I159" s="70">
        <f>G159*1.002</f>
        <v>4.81397874</v>
      </c>
      <c r="J159" s="70">
        <f>H159*1.004</f>
        <v>4.833205799999999</v>
      </c>
      <c r="K159" s="70">
        <f>I159*1.002</f>
        <v>4.82360669748</v>
      </c>
      <c r="L159" s="70">
        <f>J159*1.005</f>
        <v>4.857371828999999</v>
      </c>
      <c r="M159" s="70">
        <f>K159*1.002</f>
        <v>4.8332539108749595</v>
      </c>
      <c r="N159" s="70">
        <f>L159*1.005</f>
        <v>4.881658688144999</v>
      </c>
      <c r="O159" s="70">
        <f>M159*1.002</f>
        <v>4.84292041869671</v>
      </c>
      <c r="P159" s="70">
        <f>N159*1.005</f>
        <v>4.906066981585723</v>
      </c>
      <c r="Q159" s="70">
        <f>O159*1.002</f>
        <v>4.852606259534103</v>
      </c>
      <c r="R159" s="70">
        <f>P159*1.005</f>
        <v>4.930597316493651</v>
      </c>
    </row>
    <row r="160" spans="1:18" ht="15">
      <c r="A160" s="20"/>
      <c r="B160" s="25" t="s">
        <v>68</v>
      </c>
      <c r="C160" s="28" t="s">
        <v>66</v>
      </c>
      <c r="D160" s="91">
        <v>0.834</v>
      </c>
      <c r="E160" s="70">
        <v>1.102</v>
      </c>
      <c r="F160" s="70">
        <v>1.105</v>
      </c>
      <c r="G160" s="70">
        <f>F160*1.003</f>
        <v>1.108315</v>
      </c>
      <c r="H160" s="70">
        <f>F160*1.005</f>
        <v>1.1105249999999998</v>
      </c>
      <c r="I160" s="70">
        <f>G160*1.002</f>
        <v>1.1105316299999999</v>
      </c>
      <c r="J160" s="70">
        <f>H160*1.004</f>
        <v>1.1149670999999997</v>
      </c>
      <c r="K160" s="70">
        <f>I160*1.002</f>
        <v>1.1127526932599998</v>
      </c>
      <c r="L160" s="70">
        <f>J160*1.005</f>
        <v>1.1205419354999995</v>
      </c>
      <c r="M160" s="70">
        <f>K160*1.002</f>
        <v>1.11497819864652</v>
      </c>
      <c r="N160" s="70">
        <f>L160*1.005</f>
        <v>1.1261446451774995</v>
      </c>
      <c r="O160" s="70">
        <f>M160*1.002</f>
        <v>1.1172081550438129</v>
      </c>
      <c r="P160" s="70">
        <f>N160*1.005</f>
        <v>1.1317753684033869</v>
      </c>
      <c r="Q160" s="70">
        <f>O160*1.002</f>
        <v>1.1194425713539005</v>
      </c>
      <c r="R160" s="70">
        <f>P160*1.005</f>
        <v>1.1374342452454036</v>
      </c>
    </row>
    <row r="161" spans="1:18" ht="15">
      <c r="A161" s="20"/>
      <c r="B161" s="25" t="s">
        <v>69</v>
      </c>
      <c r="C161" s="28" t="s">
        <v>66</v>
      </c>
      <c r="D161" s="91">
        <v>3.087</v>
      </c>
      <c r="E161" s="70">
        <v>3.211</v>
      </c>
      <c r="F161" s="70">
        <v>3.095</v>
      </c>
      <c r="G161" s="70">
        <f>F161*1.015</f>
        <v>3.141425</v>
      </c>
      <c r="H161" s="70">
        <f>F161*1.02</f>
        <v>3.1569000000000003</v>
      </c>
      <c r="I161" s="70">
        <f>G161*1.02</f>
        <v>3.2042535</v>
      </c>
      <c r="J161" s="70">
        <f>H161*1.03</f>
        <v>3.2516070000000004</v>
      </c>
      <c r="K161" s="70">
        <f>I161*1.018</f>
        <v>3.2619300630000003</v>
      </c>
      <c r="L161" s="70">
        <f>J161*1.024</f>
        <v>3.3296455680000006</v>
      </c>
      <c r="M161" s="70">
        <f>K161*1.018</f>
        <v>3.3206448041340004</v>
      </c>
      <c r="N161" s="70">
        <f>L161*1.024</f>
        <v>3.409557061632001</v>
      </c>
      <c r="O161" s="70">
        <f>M161*1.018</f>
        <v>3.3804164106084125</v>
      </c>
      <c r="P161" s="70">
        <f>N161*1.024</f>
        <v>3.491386431111169</v>
      </c>
      <c r="Q161" s="70">
        <f>O161*1.018</f>
        <v>3.441263905999364</v>
      </c>
      <c r="R161" s="70">
        <f>P161*1.024</f>
        <v>3.575179705457837</v>
      </c>
    </row>
    <row r="162" spans="1:18" ht="15">
      <c r="A162" s="20"/>
      <c r="B162" s="25" t="s">
        <v>70</v>
      </c>
      <c r="C162" s="28" t="s">
        <v>66</v>
      </c>
      <c r="D162" s="91">
        <v>1.95</v>
      </c>
      <c r="E162" s="70">
        <v>2.091</v>
      </c>
      <c r="F162" s="70">
        <v>1.96</v>
      </c>
      <c r="G162" s="70">
        <f>F162*1.015</f>
        <v>1.9893999999999998</v>
      </c>
      <c r="H162" s="70">
        <f>F162*1.023</f>
        <v>2.00508</v>
      </c>
      <c r="I162" s="70">
        <f>G162*1.015</f>
        <v>2.0192409999999996</v>
      </c>
      <c r="J162" s="70">
        <f>H162*1.017</f>
        <v>2.03916636</v>
      </c>
      <c r="K162" s="70">
        <f>I162*1.013</f>
        <v>2.0454911329999996</v>
      </c>
      <c r="L162" s="70">
        <f>J162*1.027</f>
        <v>2.09422385172</v>
      </c>
      <c r="M162" s="70">
        <f>K162*1.013</f>
        <v>2.072082517728999</v>
      </c>
      <c r="N162" s="70">
        <f>L162*1.027</f>
        <v>2.15076789571644</v>
      </c>
      <c r="O162" s="70">
        <f>M162*1.013</f>
        <v>2.099019590459476</v>
      </c>
      <c r="P162" s="70">
        <f>N162*1.027</f>
        <v>2.2088386289007835</v>
      </c>
      <c r="Q162" s="70">
        <f>O162*1.013</f>
        <v>2.126306845135449</v>
      </c>
      <c r="R162" s="70">
        <f>P162*1.027</f>
        <v>2.2684772718811046</v>
      </c>
    </row>
    <row r="163" spans="1:18" ht="15">
      <c r="A163" s="20"/>
      <c r="B163" s="25" t="s">
        <v>71</v>
      </c>
      <c r="C163" s="28" t="s">
        <v>329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</row>
    <row r="164" spans="1:18" ht="15">
      <c r="A164" s="20"/>
      <c r="B164" s="25" t="s">
        <v>72</v>
      </c>
      <c r="C164" s="28" t="s">
        <v>73</v>
      </c>
      <c r="D164" s="28">
        <v>68.5</v>
      </c>
      <c r="E164" s="55">
        <v>66.6</v>
      </c>
      <c r="F164" s="55">
        <v>67.3</v>
      </c>
      <c r="G164" s="55">
        <v>68</v>
      </c>
      <c r="H164" s="55">
        <v>68.5</v>
      </c>
      <c r="I164" s="55">
        <v>68.5</v>
      </c>
      <c r="J164" s="55">
        <v>69</v>
      </c>
      <c r="K164" s="55">
        <v>69</v>
      </c>
      <c r="L164" s="55">
        <v>69.7</v>
      </c>
      <c r="M164" s="48">
        <v>69.3</v>
      </c>
      <c r="N164" s="48">
        <v>69.9</v>
      </c>
      <c r="O164" s="48">
        <v>69.4</v>
      </c>
      <c r="P164" s="48">
        <v>70</v>
      </c>
      <c r="Q164" s="48">
        <v>69.7</v>
      </c>
      <c r="R164" s="48">
        <v>70</v>
      </c>
    </row>
    <row r="165" spans="1:18" ht="15">
      <c r="A165" s="20"/>
      <c r="B165" s="25" t="s">
        <v>74</v>
      </c>
      <c r="C165" s="28" t="s">
        <v>66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</row>
    <row r="166" spans="1:18" ht="15">
      <c r="A166" s="20"/>
      <c r="B166" s="25" t="s">
        <v>75</v>
      </c>
      <c r="C166" s="28" t="s">
        <v>330</v>
      </c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</row>
    <row r="167" spans="1:18" ht="90">
      <c r="A167" s="20"/>
      <c r="B167" s="25" t="s">
        <v>76</v>
      </c>
      <c r="C167" s="28" t="s">
        <v>66</v>
      </c>
      <c r="D167" s="92">
        <v>1.992</v>
      </c>
      <c r="E167" s="93">
        <v>2.072</v>
      </c>
      <c r="F167" s="93">
        <v>1.997</v>
      </c>
      <c r="G167" s="93">
        <v>2.027</v>
      </c>
      <c r="H167" s="93">
        <v>2.037</v>
      </c>
      <c r="I167" s="93">
        <v>2.067</v>
      </c>
      <c r="J167" s="93">
        <v>2.098</v>
      </c>
      <c r="K167" s="93">
        <v>2.104</v>
      </c>
      <c r="L167" s="93">
        <v>2.148</v>
      </c>
      <c r="M167" s="80">
        <f aca="true" t="shared" si="23" ref="M167:R167">SUM(K167)*1.01</f>
        <v>2.1250400000000003</v>
      </c>
      <c r="N167" s="80">
        <f t="shared" si="23"/>
        <v>2.16948</v>
      </c>
      <c r="O167" s="80">
        <f t="shared" si="23"/>
        <v>2.1462904000000003</v>
      </c>
      <c r="P167" s="80">
        <f t="shared" si="23"/>
        <v>2.1911748</v>
      </c>
      <c r="Q167" s="80">
        <f t="shared" si="23"/>
        <v>2.167753304</v>
      </c>
      <c r="R167" s="80">
        <f t="shared" si="23"/>
        <v>2.213086548</v>
      </c>
    </row>
    <row r="168" spans="1:18" ht="30">
      <c r="A168" s="20"/>
      <c r="B168" s="25" t="s">
        <v>77</v>
      </c>
      <c r="C168" s="28" t="s">
        <v>66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</row>
    <row r="169" spans="1:18" ht="45">
      <c r="A169" s="20"/>
      <c r="B169" s="25" t="s">
        <v>78</v>
      </c>
      <c r="C169" s="28" t="s">
        <v>66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</row>
    <row r="170" spans="1:18" ht="30">
      <c r="A170" s="20"/>
      <c r="B170" s="25" t="s">
        <v>79</v>
      </c>
      <c r="C170" s="28" t="s">
        <v>66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</row>
    <row r="171" spans="1:18" ht="45">
      <c r="A171" s="20"/>
      <c r="B171" s="25" t="s">
        <v>331</v>
      </c>
      <c r="C171" s="28" t="s">
        <v>332</v>
      </c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</row>
    <row r="172" spans="1:18" ht="120">
      <c r="A172" s="20"/>
      <c r="B172" s="31" t="s">
        <v>333</v>
      </c>
      <c r="C172" s="28" t="s">
        <v>73</v>
      </c>
      <c r="D172" s="28">
        <v>18.4</v>
      </c>
      <c r="E172" s="55">
        <v>25.1</v>
      </c>
      <c r="F172" s="55">
        <v>25.5</v>
      </c>
      <c r="G172" s="55">
        <v>25.7</v>
      </c>
      <c r="H172" s="55">
        <v>25.9</v>
      </c>
      <c r="I172" s="55">
        <v>25.9</v>
      </c>
      <c r="J172" s="55">
        <v>26.3</v>
      </c>
      <c r="K172" s="55">
        <v>26.3</v>
      </c>
      <c r="L172" s="55">
        <v>26.8</v>
      </c>
      <c r="M172" s="81">
        <f>SUM(K172)*1.015</f>
        <v>26.694499999999998</v>
      </c>
      <c r="N172" s="81">
        <f>SUM(L172)*1.018</f>
        <v>27.282400000000003</v>
      </c>
      <c r="O172" s="81">
        <f>SUM(M172)*1.015</f>
        <v>27.094917499999994</v>
      </c>
      <c r="P172" s="81">
        <f>SUM(N172)*1.018</f>
        <v>27.773483200000005</v>
      </c>
      <c r="Q172" s="81">
        <f>SUM(O172)*1.015</f>
        <v>27.50134126249999</v>
      </c>
      <c r="R172" s="81">
        <f>SUM(P172)*1.018</f>
        <v>28.273405897600004</v>
      </c>
    </row>
    <row r="173" spans="1:18" ht="30">
      <c r="A173" s="20"/>
      <c r="B173" s="29" t="s">
        <v>334</v>
      </c>
      <c r="C173" s="28" t="s">
        <v>335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</row>
    <row r="174" spans="1:18" s="18" customFormat="1" ht="15">
      <c r="A174" s="35" t="s">
        <v>344</v>
      </c>
      <c r="B174" s="37" t="s">
        <v>345</v>
      </c>
      <c r="C174" s="38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1:18" ht="45">
      <c r="A175" s="8"/>
      <c r="B175" s="4" t="s">
        <v>80</v>
      </c>
      <c r="C175" s="3" t="s">
        <v>65</v>
      </c>
      <c r="D175" s="71">
        <v>854.4</v>
      </c>
      <c r="E175" s="94">
        <v>454.9</v>
      </c>
      <c r="F175" s="94">
        <v>47.72</v>
      </c>
      <c r="G175" s="94">
        <v>50.1</v>
      </c>
      <c r="H175" s="94">
        <v>50.3</v>
      </c>
      <c r="I175" s="94">
        <v>52.77</v>
      </c>
      <c r="J175" s="94">
        <v>53.3</v>
      </c>
      <c r="K175" s="94">
        <v>56.02</v>
      </c>
      <c r="L175" s="94">
        <v>56.75</v>
      </c>
      <c r="M175" s="94">
        <f>SUM(K175)*1.045</f>
        <v>58.5409</v>
      </c>
      <c r="N175" s="94">
        <f>SUM(L175)*1.045</f>
        <v>59.303749999999994</v>
      </c>
      <c r="O175" s="94">
        <f>SUM(M175)*1.043</f>
        <v>61.0581587</v>
      </c>
      <c r="P175" s="94">
        <f>SUM(N175)*1.043</f>
        <v>61.85381124999999</v>
      </c>
      <c r="Q175" s="94">
        <f>SUM(O175)*1.045</f>
        <v>63.805775841499994</v>
      </c>
      <c r="R175" s="94">
        <f>SUM(P175)*1.045</f>
        <v>64.63723275624999</v>
      </c>
    </row>
    <row r="176" spans="1:18" ht="30">
      <c r="A176" s="8"/>
      <c r="B176" s="4" t="s">
        <v>81</v>
      </c>
      <c r="C176" s="3" t="s">
        <v>5</v>
      </c>
      <c r="D176" s="57">
        <v>41.1</v>
      </c>
      <c r="E176" s="58">
        <v>50.85</v>
      </c>
      <c r="F176" s="58">
        <v>10</v>
      </c>
      <c r="G176" s="58">
        <v>100</v>
      </c>
      <c r="H176" s="58">
        <v>100.3</v>
      </c>
      <c r="I176" s="58">
        <v>100.5</v>
      </c>
      <c r="J176" s="58">
        <v>101</v>
      </c>
      <c r="K176" s="58">
        <v>101.3</v>
      </c>
      <c r="L176" s="58">
        <v>101.5</v>
      </c>
      <c r="M176" s="104">
        <f>SUM(M175/K175)/1.044*100</f>
        <v>100.09578544061301</v>
      </c>
      <c r="N176" s="104">
        <f>SUM(N175/L175)/1.044*100</f>
        <v>100.09578544061301</v>
      </c>
      <c r="O176" s="104">
        <f>SUM(O175/M175)/1.042*100</f>
        <v>100.09596928982725</v>
      </c>
      <c r="P176" s="104">
        <f>SUM(P175/N175)/1.042*100</f>
        <v>100.09596928982725</v>
      </c>
      <c r="Q176" s="104">
        <f>SUM(Q175/O175)/1.041*100</f>
        <v>100.38424591738713</v>
      </c>
      <c r="R176" s="104">
        <f>SUM(R175/P175)/1.041*100</f>
        <v>100.38424591738713</v>
      </c>
    </row>
    <row r="177" spans="1:18" ht="30">
      <c r="A177" s="8"/>
      <c r="B177" s="4" t="s">
        <v>6</v>
      </c>
      <c r="C177" s="3" t="s">
        <v>7</v>
      </c>
      <c r="D177" s="71">
        <v>28.1</v>
      </c>
      <c r="E177" s="61">
        <v>25.4</v>
      </c>
      <c r="F177" s="61">
        <v>12.6</v>
      </c>
      <c r="G177" s="61">
        <v>13.3</v>
      </c>
      <c r="H177" s="61">
        <v>14.9</v>
      </c>
      <c r="I177" s="61">
        <v>11</v>
      </c>
      <c r="J177" s="61">
        <v>12.6</v>
      </c>
      <c r="K177" s="61">
        <v>21.5</v>
      </c>
      <c r="L177" s="61">
        <v>23.1</v>
      </c>
      <c r="M177" s="61">
        <v>21.5</v>
      </c>
      <c r="N177" s="61">
        <v>23.1</v>
      </c>
      <c r="O177" s="61">
        <v>21.5</v>
      </c>
      <c r="P177" s="61">
        <v>23.1</v>
      </c>
      <c r="Q177" s="61">
        <v>21.5</v>
      </c>
      <c r="R177" s="61">
        <v>23.1</v>
      </c>
    </row>
    <row r="178" spans="1:18" ht="30">
      <c r="A178" s="8"/>
      <c r="B178" s="4" t="s">
        <v>82</v>
      </c>
      <c r="C178" s="3" t="s">
        <v>8</v>
      </c>
      <c r="D178" s="59">
        <v>49.1</v>
      </c>
      <c r="E178" s="62">
        <v>41.3</v>
      </c>
      <c r="F178" s="62">
        <v>55.6</v>
      </c>
      <c r="G178" s="62">
        <v>60.2</v>
      </c>
      <c r="H178" s="62">
        <v>53.7</v>
      </c>
      <c r="I178" s="62">
        <v>63.6</v>
      </c>
      <c r="J178" s="62">
        <v>55.6</v>
      </c>
      <c r="K178" s="62">
        <v>32.6</v>
      </c>
      <c r="L178" s="62">
        <v>30.3</v>
      </c>
      <c r="M178" s="62">
        <v>32.6</v>
      </c>
      <c r="N178" s="62">
        <v>30.3</v>
      </c>
      <c r="O178" s="62">
        <v>32.6</v>
      </c>
      <c r="P178" s="62">
        <v>30.3</v>
      </c>
      <c r="Q178" s="62">
        <v>32.6</v>
      </c>
      <c r="R178" s="62">
        <v>30.3</v>
      </c>
    </row>
    <row r="179" spans="1:18" s="18" customFormat="1" ht="15">
      <c r="A179" s="19" t="s">
        <v>346</v>
      </c>
      <c r="B179" s="37" t="s">
        <v>347</v>
      </c>
      <c r="C179" s="38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1:18" ht="45">
      <c r="A180" s="20" t="s">
        <v>348</v>
      </c>
      <c r="B180" s="4" t="s">
        <v>9</v>
      </c>
      <c r="C180" s="3" t="s">
        <v>4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</row>
    <row r="181" spans="1:18" ht="30">
      <c r="A181" s="20"/>
      <c r="B181" s="4" t="s">
        <v>9</v>
      </c>
      <c r="C181" s="3" t="s">
        <v>5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</row>
    <row r="182" spans="1:18" ht="15">
      <c r="A182" s="20" t="s">
        <v>349</v>
      </c>
      <c r="B182" s="4" t="s">
        <v>83</v>
      </c>
      <c r="C182" s="3" t="s">
        <v>2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</row>
    <row r="183" spans="1:18" ht="30">
      <c r="A183" s="20"/>
      <c r="B183" s="4" t="s">
        <v>83</v>
      </c>
      <c r="C183" s="3" t="s">
        <v>5</v>
      </c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</row>
    <row r="184" spans="1:18" ht="15">
      <c r="A184" s="20" t="s">
        <v>350</v>
      </c>
      <c r="B184" s="4" t="s">
        <v>10</v>
      </c>
      <c r="C184" s="3" t="s">
        <v>2</v>
      </c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</row>
    <row r="185" spans="1:18" ht="30">
      <c r="A185" s="34"/>
      <c r="B185" s="4" t="s">
        <v>10</v>
      </c>
      <c r="C185" s="3" t="s">
        <v>5</v>
      </c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</row>
    <row r="186" spans="1:18" s="18" customFormat="1" ht="42.75">
      <c r="A186" s="35" t="s">
        <v>351</v>
      </c>
      <c r="B186" s="37" t="s">
        <v>352</v>
      </c>
      <c r="C186" s="38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ht="30">
      <c r="A187" s="13"/>
      <c r="B187" s="4" t="s">
        <v>365</v>
      </c>
      <c r="C187" s="3" t="s">
        <v>11</v>
      </c>
      <c r="D187" s="7">
        <v>400</v>
      </c>
      <c r="E187" s="7">
        <v>402</v>
      </c>
      <c r="F187" s="7">
        <v>405</v>
      </c>
      <c r="G187" s="7">
        <v>400</v>
      </c>
      <c r="H187" s="7">
        <v>405</v>
      </c>
      <c r="I187" s="7">
        <v>402</v>
      </c>
      <c r="J187" s="7">
        <v>407</v>
      </c>
      <c r="K187" s="7">
        <v>405</v>
      </c>
      <c r="L187" s="7">
        <v>410</v>
      </c>
      <c r="M187" s="7">
        <v>412</v>
      </c>
      <c r="N187" s="7">
        <v>415</v>
      </c>
      <c r="O187" s="7">
        <v>415</v>
      </c>
      <c r="P187" s="7">
        <v>420</v>
      </c>
      <c r="Q187" s="7">
        <v>420</v>
      </c>
      <c r="R187" s="7">
        <v>425</v>
      </c>
    </row>
    <row r="188" spans="1:18" ht="60">
      <c r="A188" s="13"/>
      <c r="B188" s="4" t="s">
        <v>34</v>
      </c>
      <c r="C188" s="3" t="s">
        <v>173</v>
      </c>
      <c r="D188" s="7">
        <v>2.3</v>
      </c>
      <c r="E188" s="7">
        <v>2.41</v>
      </c>
      <c r="F188" s="7">
        <v>2.42</v>
      </c>
      <c r="G188" s="7">
        <v>2.43</v>
      </c>
      <c r="H188" s="7">
        <v>2.45</v>
      </c>
      <c r="I188" s="7">
        <v>2.45</v>
      </c>
      <c r="J188" s="7">
        <v>2.46</v>
      </c>
      <c r="K188" s="7">
        <v>2.47</v>
      </c>
      <c r="L188" s="7">
        <v>2.5</v>
      </c>
      <c r="M188" s="7">
        <v>2.48</v>
      </c>
      <c r="N188" s="7">
        <v>2.52</v>
      </c>
      <c r="O188" s="7">
        <v>2.5</v>
      </c>
      <c r="P188" s="7">
        <v>2.54</v>
      </c>
      <c r="Q188" s="7">
        <v>2.3</v>
      </c>
      <c r="R188" s="7">
        <v>2.57</v>
      </c>
    </row>
    <row r="189" spans="1:18" ht="30">
      <c r="A189" s="13"/>
      <c r="B189" s="4" t="s">
        <v>33</v>
      </c>
      <c r="C189" s="3" t="s">
        <v>2</v>
      </c>
      <c r="D189" s="7">
        <v>6000</v>
      </c>
      <c r="E189" s="7">
        <v>6070</v>
      </c>
      <c r="F189" s="7">
        <v>6100</v>
      </c>
      <c r="G189" s="7">
        <v>6100</v>
      </c>
      <c r="H189" s="7">
        <v>6150</v>
      </c>
      <c r="I189" s="7">
        <v>6130</v>
      </c>
      <c r="J189" s="7">
        <v>6170</v>
      </c>
      <c r="K189" s="7">
        <v>6180</v>
      </c>
      <c r="L189" s="7">
        <v>6200</v>
      </c>
      <c r="M189" s="7">
        <v>6190</v>
      </c>
      <c r="N189" s="7">
        <v>6210</v>
      </c>
      <c r="O189" s="7">
        <v>6200</v>
      </c>
      <c r="P189" s="7">
        <v>6220</v>
      </c>
      <c r="Q189" s="7">
        <v>6210</v>
      </c>
      <c r="R189" s="7">
        <v>6230</v>
      </c>
    </row>
    <row r="190" spans="1:18" s="18" customFormat="1" ht="15">
      <c r="A190" s="35" t="s">
        <v>355</v>
      </c>
      <c r="B190" s="37" t="s">
        <v>354</v>
      </c>
      <c r="C190" s="38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45">
      <c r="A191" s="13"/>
      <c r="B191" s="4" t="s">
        <v>12</v>
      </c>
      <c r="C191" s="3" t="s">
        <v>4</v>
      </c>
      <c r="D191" s="53">
        <v>1216.1</v>
      </c>
      <c r="E191" s="55">
        <v>1664.1</v>
      </c>
      <c r="F191" s="55">
        <v>1781.2</v>
      </c>
      <c r="G191" s="55">
        <v>1871.2</v>
      </c>
      <c r="H191" s="55">
        <v>1886.8</v>
      </c>
      <c r="I191" s="55">
        <v>1972.2</v>
      </c>
      <c r="J191" s="55">
        <v>2007.6</v>
      </c>
      <c r="K191" s="55">
        <v>2076.2</v>
      </c>
      <c r="L191" s="55">
        <v>2123.3</v>
      </c>
      <c r="M191" s="55">
        <v>2185.8</v>
      </c>
      <c r="N191" s="7">
        <v>2245.7</v>
      </c>
      <c r="O191" s="7">
        <v>2301.2</v>
      </c>
      <c r="P191" s="7">
        <v>2375.2</v>
      </c>
      <c r="Q191" s="7">
        <v>2422.7</v>
      </c>
      <c r="R191" s="7">
        <v>2512.2</v>
      </c>
    </row>
    <row r="192" spans="1:18" ht="30">
      <c r="A192" s="13"/>
      <c r="B192" s="4" t="s">
        <v>84</v>
      </c>
      <c r="C192" s="3" t="s">
        <v>5</v>
      </c>
      <c r="D192" s="28">
        <v>42.2</v>
      </c>
      <c r="E192" s="55">
        <v>130</v>
      </c>
      <c r="F192" s="55">
        <v>102.4</v>
      </c>
      <c r="G192" s="55">
        <v>100.6</v>
      </c>
      <c r="H192" s="55">
        <v>101.6</v>
      </c>
      <c r="I192" s="55">
        <v>101</v>
      </c>
      <c r="J192" s="55">
        <v>101.6</v>
      </c>
      <c r="K192" s="55">
        <v>101</v>
      </c>
      <c r="L192" s="55">
        <v>101.6</v>
      </c>
      <c r="M192" s="55">
        <v>100.9</v>
      </c>
      <c r="N192" s="55">
        <v>101.4</v>
      </c>
      <c r="O192" s="55">
        <v>100.8</v>
      </c>
      <c r="P192" s="55">
        <v>101.3</v>
      </c>
      <c r="Q192" s="55">
        <v>100.8</v>
      </c>
      <c r="R192" s="55">
        <v>101.3</v>
      </c>
    </row>
    <row r="193" spans="1:18" ht="90">
      <c r="A193" s="13"/>
      <c r="B193" s="4" t="s">
        <v>85</v>
      </c>
      <c r="C193" s="3" t="s">
        <v>2</v>
      </c>
      <c r="D193" s="55">
        <f aca="true" t="shared" si="24" ref="D193:K193">SUM(D196+D198+D200+D230+D232+D234+D236+D238+D240+D242+D244+D246+D248+D250+D252+D254+D256+D258+D260)</f>
        <v>1192.3</v>
      </c>
      <c r="E193" s="55">
        <f t="shared" si="24"/>
        <v>1603.2000000000003</v>
      </c>
      <c r="F193" s="55">
        <f t="shared" si="24"/>
        <v>1729.4000000000003</v>
      </c>
      <c r="G193" s="55">
        <f t="shared" si="24"/>
        <v>1834.4999999999995</v>
      </c>
      <c r="H193" s="55">
        <f t="shared" si="24"/>
        <v>1849.8999999999996</v>
      </c>
      <c r="I193" s="55">
        <f t="shared" si="24"/>
        <v>1933.4999999999998</v>
      </c>
      <c r="J193" s="55">
        <f t="shared" si="24"/>
        <v>1968.2</v>
      </c>
      <c r="K193" s="55">
        <f t="shared" si="24"/>
        <v>2035.6</v>
      </c>
      <c r="L193" s="55">
        <f aca="true" t="shared" si="25" ref="L193:R193">SUM(L196+L198+L200+L230+L232+L234+L236+L238+L240+L242+L244+L246+L248+L250+L252+L254+L256+L258+L260)</f>
        <v>2081.7000000000003</v>
      </c>
      <c r="M193" s="55">
        <f t="shared" si="25"/>
        <v>2143</v>
      </c>
      <c r="N193" s="55">
        <f t="shared" si="25"/>
        <v>2201.6000000000004</v>
      </c>
      <c r="O193" s="55">
        <f t="shared" si="25"/>
        <v>2255.9</v>
      </c>
      <c r="P193" s="55">
        <f t="shared" si="25"/>
        <v>2328.6</v>
      </c>
      <c r="Q193" s="55">
        <f t="shared" si="25"/>
        <v>2375.2999999999997</v>
      </c>
      <c r="R193" s="55">
        <f t="shared" si="25"/>
        <v>2462.9</v>
      </c>
    </row>
    <row r="194" spans="1:18" ht="30">
      <c r="A194" s="13"/>
      <c r="B194" s="4" t="s">
        <v>86</v>
      </c>
      <c r="C194" s="3" t="s">
        <v>5</v>
      </c>
      <c r="D194" s="28">
        <v>42.2</v>
      </c>
      <c r="E194" s="55">
        <v>127.7</v>
      </c>
      <c r="F194" s="55">
        <v>103.2</v>
      </c>
      <c r="G194" s="55">
        <v>101.6</v>
      </c>
      <c r="H194" s="55">
        <v>102.5</v>
      </c>
      <c r="I194" s="55">
        <v>101</v>
      </c>
      <c r="J194" s="55">
        <v>101.63</v>
      </c>
      <c r="K194" s="55">
        <v>101</v>
      </c>
      <c r="L194" s="55">
        <v>101.6</v>
      </c>
      <c r="M194" s="55">
        <v>100.9</v>
      </c>
      <c r="N194" s="55">
        <v>101.4</v>
      </c>
      <c r="O194" s="55">
        <v>100.8</v>
      </c>
      <c r="P194" s="55">
        <v>101.3</v>
      </c>
      <c r="Q194" s="55">
        <v>100.8</v>
      </c>
      <c r="R194" s="55">
        <v>101.3</v>
      </c>
    </row>
    <row r="195" spans="1:18" ht="84" customHeight="1">
      <c r="A195" s="13"/>
      <c r="B195" s="4" t="s">
        <v>87</v>
      </c>
      <c r="C195" s="5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</row>
    <row r="196" spans="1:18" ht="45">
      <c r="A196" s="13"/>
      <c r="B196" s="4" t="s">
        <v>88</v>
      </c>
      <c r="C196" s="3" t="s">
        <v>89</v>
      </c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</row>
    <row r="197" spans="1:18" ht="30">
      <c r="A197" s="13"/>
      <c r="B197" s="4" t="s">
        <v>86</v>
      </c>
      <c r="C197" s="3" t="s">
        <v>5</v>
      </c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</row>
    <row r="198" spans="1:18" ht="45">
      <c r="A198" s="13"/>
      <c r="B198" s="4" t="s">
        <v>90</v>
      </c>
      <c r="C198" s="3" t="s">
        <v>89</v>
      </c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</row>
    <row r="199" spans="1:18" ht="30">
      <c r="A199" s="13"/>
      <c r="B199" s="4" t="s">
        <v>86</v>
      </c>
      <c r="C199" s="3" t="s">
        <v>5</v>
      </c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</row>
    <row r="200" spans="1:18" ht="45">
      <c r="A200" s="13"/>
      <c r="B200" s="4" t="s">
        <v>91</v>
      </c>
      <c r="C200" s="3" t="s">
        <v>89</v>
      </c>
      <c r="D200" s="95">
        <v>16.7</v>
      </c>
      <c r="E200" s="55">
        <v>4.9</v>
      </c>
      <c r="F200" s="55">
        <v>5.1</v>
      </c>
      <c r="G200" s="55">
        <v>5.3</v>
      </c>
      <c r="H200" s="55">
        <v>5.4</v>
      </c>
      <c r="I200" s="55">
        <v>5.6</v>
      </c>
      <c r="J200" s="55">
        <v>5.7</v>
      </c>
      <c r="K200" s="55">
        <v>5.9</v>
      </c>
      <c r="L200" s="55">
        <v>6</v>
      </c>
      <c r="M200" s="7">
        <v>6.2</v>
      </c>
      <c r="N200" s="7">
        <v>6.3</v>
      </c>
      <c r="O200" s="7">
        <v>6.5</v>
      </c>
      <c r="P200" s="7">
        <v>6.6</v>
      </c>
      <c r="Q200" s="7">
        <v>6.8</v>
      </c>
      <c r="R200" s="81">
        <v>7</v>
      </c>
    </row>
    <row r="201" spans="1:18" ht="30">
      <c r="A201" s="13"/>
      <c r="B201" s="4" t="s">
        <v>86</v>
      </c>
      <c r="C201" s="3" t="s">
        <v>5</v>
      </c>
      <c r="D201" s="96">
        <v>121.6</v>
      </c>
      <c r="E201" s="55">
        <v>27.9</v>
      </c>
      <c r="F201" s="55">
        <v>100</v>
      </c>
      <c r="G201" s="55">
        <v>100</v>
      </c>
      <c r="H201" s="55">
        <v>101</v>
      </c>
      <c r="I201" s="55">
        <v>100</v>
      </c>
      <c r="J201" s="55">
        <v>101</v>
      </c>
      <c r="K201" s="55">
        <v>101</v>
      </c>
      <c r="L201" s="55">
        <v>101</v>
      </c>
      <c r="M201" s="55">
        <v>101</v>
      </c>
      <c r="N201" s="55">
        <v>101</v>
      </c>
      <c r="O201" s="55">
        <v>101</v>
      </c>
      <c r="P201" s="55">
        <v>101</v>
      </c>
      <c r="Q201" s="55">
        <v>101</v>
      </c>
      <c r="R201" s="55">
        <v>101</v>
      </c>
    </row>
    <row r="202" spans="1:18" ht="15">
      <c r="A202" s="13"/>
      <c r="B202" s="4" t="s">
        <v>155</v>
      </c>
      <c r="C202" s="3" t="s">
        <v>2</v>
      </c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</row>
    <row r="203" spans="1:18" ht="30">
      <c r="A203" s="13"/>
      <c r="B203" s="4" t="s">
        <v>86</v>
      </c>
      <c r="C203" s="3" t="s">
        <v>5</v>
      </c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1:18" ht="15">
      <c r="A204" s="13"/>
      <c r="B204" s="4" t="s">
        <v>156</v>
      </c>
      <c r="C204" s="3" t="s">
        <v>2</v>
      </c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</row>
    <row r="205" spans="1:18" ht="30">
      <c r="A205" s="13"/>
      <c r="B205" s="4" t="s">
        <v>86</v>
      </c>
      <c r="C205" s="3" t="s">
        <v>5</v>
      </c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</row>
    <row r="206" spans="1:18" ht="60">
      <c r="A206" s="13"/>
      <c r="B206" s="4" t="s">
        <v>157</v>
      </c>
      <c r="C206" s="3" t="s">
        <v>2</v>
      </c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</row>
    <row r="207" spans="1:18" ht="30">
      <c r="A207" s="13"/>
      <c r="B207" s="4" t="s">
        <v>86</v>
      </c>
      <c r="C207" s="3" t="s">
        <v>5</v>
      </c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</row>
    <row r="208" spans="1:18" ht="30">
      <c r="A208" s="13"/>
      <c r="B208" s="4" t="s">
        <v>158</v>
      </c>
      <c r="C208" s="3" t="s">
        <v>2</v>
      </c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</row>
    <row r="209" spans="1:18" ht="30">
      <c r="A209" s="13"/>
      <c r="B209" s="4" t="s">
        <v>86</v>
      </c>
      <c r="C209" s="3" t="s">
        <v>5</v>
      </c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</row>
    <row r="210" spans="1:18" ht="15">
      <c r="A210" s="13"/>
      <c r="B210" s="4" t="s">
        <v>159</v>
      </c>
      <c r="C210" s="3" t="s">
        <v>2</v>
      </c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</row>
    <row r="211" spans="1:18" ht="30">
      <c r="A211" s="13"/>
      <c r="B211" s="4" t="s">
        <v>86</v>
      </c>
      <c r="C211" s="3" t="s">
        <v>5</v>
      </c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</row>
    <row r="212" spans="1:18" ht="30">
      <c r="A212" s="13"/>
      <c r="B212" s="4" t="s">
        <v>160</v>
      </c>
      <c r="C212" s="3" t="s">
        <v>2</v>
      </c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</row>
    <row r="213" spans="1:18" ht="30">
      <c r="A213" s="13"/>
      <c r="B213" s="4" t="s">
        <v>86</v>
      </c>
      <c r="C213" s="3" t="s">
        <v>5</v>
      </c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</row>
    <row r="214" spans="1:18" ht="30">
      <c r="A214" s="13"/>
      <c r="B214" s="4" t="s">
        <v>161</v>
      </c>
      <c r="C214" s="3" t="s">
        <v>2</v>
      </c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</row>
    <row r="215" spans="1:18" ht="30">
      <c r="A215" s="13"/>
      <c r="B215" s="4" t="s">
        <v>86</v>
      </c>
      <c r="C215" s="3" t="s">
        <v>5</v>
      </c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</row>
    <row r="216" spans="1:18" ht="30">
      <c r="A216" s="13"/>
      <c r="B216" s="4" t="s">
        <v>162</v>
      </c>
      <c r="C216" s="3" t="s">
        <v>2</v>
      </c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</row>
    <row r="217" spans="1:18" ht="30">
      <c r="A217" s="13"/>
      <c r="B217" s="4" t="s">
        <v>86</v>
      </c>
      <c r="C217" s="3" t="s">
        <v>5</v>
      </c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</row>
    <row r="218" spans="1:18" ht="30">
      <c r="A218" s="13"/>
      <c r="B218" s="4" t="s">
        <v>163</v>
      </c>
      <c r="C218" s="3" t="s">
        <v>2</v>
      </c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</row>
    <row r="219" spans="1:18" ht="30">
      <c r="A219" s="13"/>
      <c r="B219" s="4" t="s">
        <v>86</v>
      </c>
      <c r="C219" s="3" t="s">
        <v>5</v>
      </c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</row>
    <row r="220" spans="1:18" ht="30">
      <c r="A220" s="13"/>
      <c r="B220" s="4" t="s">
        <v>164</v>
      </c>
      <c r="C220" s="3" t="s">
        <v>165</v>
      </c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</row>
    <row r="221" spans="1:18" ht="30">
      <c r="A221" s="13"/>
      <c r="B221" s="4" t="s">
        <v>86</v>
      </c>
      <c r="C221" s="3" t="s">
        <v>5</v>
      </c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</row>
    <row r="222" spans="1:18" ht="30">
      <c r="A222" s="13"/>
      <c r="B222" s="4" t="s">
        <v>166</v>
      </c>
      <c r="C222" s="3" t="s">
        <v>2</v>
      </c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</row>
    <row r="223" spans="1:18" ht="30">
      <c r="A223" s="13"/>
      <c r="B223" s="4" t="s">
        <v>86</v>
      </c>
      <c r="C223" s="3" t="s">
        <v>5</v>
      </c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</row>
    <row r="224" spans="1:18" ht="30">
      <c r="A224" s="13"/>
      <c r="B224" s="4" t="s">
        <v>167</v>
      </c>
      <c r="C224" s="3" t="s">
        <v>2</v>
      </c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</row>
    <row r="225" spans="1:18" ht="30">
      <c r="A225" s="13"/>
      <c r="B225" s="4" t="s">
        <v>86</v>
      </c>
      <c r="C225" s="3" t="s">
        <v>5</v>
      </c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</row>
    <row r="226" spans="1:18" ht="30">
      <c r="A226" s="13"/>
      <c r="B226" s="4" t="s">
        <v>168</v>
      </c>
      <c r="C226" s="3" t="s">
        <v>169</v>
      </c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</row>
    <row r="227" spans="1:18" ht="30">
      <c r="A227" s="13"/>
      <c r="B227" s="4" t="s">
        <v>86</v>
      </c>
      <c r="C227" s="3" t="s">
        <v>5</v>
      </c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</row>
    <row r="228" spans="1:18" ht="15">
      <c r="A228" s="13"/>
      <c r="B228" s="4" t="s">
        <v>170</v>
      </c>
      <c r="C228" s="3" t="s">
        <v>2</v>
      </c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</row>
    <row r="229" spans="1:18" ht="30">
      <c r="A229" s="13"/>
      <c r="B229" s="4" t="s">
        <v>86</v>
      </c>
      <c r="C229" s="3" t="s">
        <v>5</v>
      </c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</row>
    <row r="230" spans="1:18" ht="45">
      <c r="A230" s="13"/>
      <c r="B230" s="4" t="s">
        <v>92</v>
      </c>
      <c r="C230" s="3" t="s">
        <v>89</v>
      </c>
      <c r="D230" s="96">
        <v>67.5</v>
      </c>
      <c r="E230" s="55">
        <v>121.1</v>
      </c>
      <c r="F230" s="55">
        <v>94.9</v>
      </c>
      <c r="G230" s="55">
        <v>100.1</v>
      </c>
      <c r="H230" s="55">
        <v>100.1</v>
      </c>
      <c r="I230" s="55">
        <v>105.5</v>
      </c>
      <c r="J230" s="55">
        <v>106.6</v>
      </c>
      <c r="K230" s="55">
        <v>111.1</v>
      </c>
      <c r="L230" s="55">
        <v>112.2</v>
      </c>
      <c r="M230" s="50">
        <v>116.9</v>
      </c>
      <c r="N230" s="50">
        <v>118</v>
      </c>
      <c r="O230" s="50">
        <v>123</v>
      </c>
      <c r="P230" s="50">
        <v>124.2</v>
      </c>
      <c r="Q230" s="50">
        <v>129.5</v>
      </c>
      <c r="R230" s="50">
        <v>130.7</v>
      </c>
    </row>
    <row r="231" spans="1:18" ht="30">
      <c r="A231" s="13"/>
      <c r="B231" s="4" t="s">
        <v>86</v>
      </c>
      <c r="C231" s="3" t="s">
        <v>5</v>
      </c>
      <c r="D231" s="96">
        <v>26.8</v>
      </c>
      <c r="E231" s="55">
        <v>170.4</v>
      </c>
      <c r="F231" s="55">
        <v>75</v>
      </c>
      <c r="G231" s="55">
        <v>101</v>
      </c>
      <c r="H231" s="55">
        <v>101</v>
      </c>
      <c r="I231" s="55">
        <v>101</v>
      </c>
      <c r="J231" s="55">
        <v>102</v>
      </c>
      <c r="K231" s="55">
        <v>101</v>
      </c>
      <c r="L231" s="55">
        <v>101</v>
      </c>
      <c r="M231" s="55">
        <v>101</v>
      </c>
      <c r="N231" s="55">
        <v>101</v>
      </c>
      <c r="O231" s="55">
        <v>101</v>
      </c>
      <c r="P231" s="55">
        <v>101</v>
      </c>
      <c r="Q231" s="55">
        <v>101</v>
      </c>
      <c r="R231" s="55">
        <v>101</v>
      </c>
    </row>
    <row r="232" spans="1:18" ht="45">
      <c r="A232" s="13"/>
      <c r="B232" s="4" t="s">
        <v>93</v>
      </c>
      <c r="C232" s="3" t="s">
        <v>89</v>
      </c>
      <c r="D232" s="95">
        <v>0</v>
      </c>
      <c r="E232" s="55">
        <v>134</v>
      </c>
      <c r="F232" s="55">
        <v>98</v>
      </c>
      <c r="G232" s="55">
        <v>103.4</v>
      </c>
      <c r="H232" s="55">
        <v>103.4</v>
      </c>
      <c r="I232" s="55">
        <v>109</v>
      </c>
      <c r="J232" s="55">
        <v>110.1</v>
      </c>
      <c r="K232" s="55">
        <v>114.7</v>
      </c>
      <c r="L232" s="55">
        <v>115.8</v>
      </c>
      <c r="M232" s="50">
        <v>120.7</v>
      </c>
      <c r="N232" s="50">
        <v>121.9</v>
      </c>
      <c r="O232" s="50">
        <v>127</v>
      </c>
      <c r="P232" s="50">
        <v>128.3</v>
      </c>
      <c r="Q232" s="50">
        <v>133.7</v>
      </c>
      <c r="R232" s="50">
        <v>135</v>
      </c>
    </row>
    <row r="233" spans="1:18" ht="30">
      <c r="A233" s="13"/>
      <c r="B233" s="4" t="s">
        <v>86</v>
      </c>
      <c r="C233" s="3" t="s">
        <v>5</v>
      </c>
      <c r="D233" s="95">
        <v>0</v>
      </c>
      <c r="E233" s="55">
        <v>0</v>
      </c>
      <c r="F233" s="55">
        <v>70</v>
      </c>
      <c r="G233" s="55">
        <v>101</v>
      </c>
      <c r="H233" s="55">
        <v>101</v>
      </c>
      <c r="I233" s="55">
        <v>101</v>
      </c>
      <c r="J233" s="55">
        <v>102</v>
      </c>
      <c r="K233" s="55">
        <v>101</v>
      </c>
      <c r="L233" s="55">
        <v>101</v>
      </c>
      <c r="M233" s="55">
        <v>101</v>
      </c>
      <c r="N233" s="55">
        <v>101</v>
      </c>
      <c r="O233" s="55">
        <v>101</v>
      </c>
      <c r="P233" s="55">
        <v>101</v>
      </c>
      <c r="Q233" s="55">
        <v>101</v>
      </c>
      <c r="R233" s="55">
        <v>101</v>
      </c>
    </row>
    <row r="234" spans="1:18" ht="45">
      <c r="A234" s="13"/>
      <c r="B234" s="4" t="s">
        <v>94</v>
      </c>
      <c r="C234" s="3" t="s">
        <v>89</v>
      </c>
      <c r="D234" s="97">
        <v>9.6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  <c r="R234" s="61">
        <v>0</v>
      </c>
    </row>
    <row r="235" spans="1:18" ht="30">
      <c r="A235" s="13"/>
      <c r="B235" s="4" t="s">
        <v>86</v>
      </c>
      <c r="C235" s="3" t="s">
        <v>5</v>
      </c>
      <c r="D235" s="57">
        <v>50</v>
      </c>
      <c r="E235" s="62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v>0</v>
      </c>
      <c r="K235" s="62">
        <v>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v>0</v>
      </c>
      <c r="R235" s="62">
        <v>0</v>
      </c>
    </row>
    <row r="236" spans="1:18" ht="45">
      <c r="A236" s="13"/>
      <c r="B236" s="4" t="s">
        <v>95</v>
      </c>
      <c r="C236" s="3" t="s">
        <v>89</v>
      </c>
      <c r="D236" s="97">
        <v>21.9</v>
      </c>
      <c r="E236" s="61">
        <v>60</v>
      </c>
      <c r="F236" s="61">
        <v>62.7</v>
      </c>
      <c r="G236" s="61">
        <v>65.5</v>
      </c>
      <c r="H236" s="61">
        <v>65.5</v>
      </c>
      <c r="I236" s="61">
        <v>69</v>
      </c>
      <c r="J236" s="61">
        <v>69</v>
      </c>
      <c r="K236" s="61">
        <v>74.1</v>
      </c>
      <c r="L236" s="61">
        <v>74.1</v>
      </c>
      <c r="M236" s="104">
        <v>79.5</v>
      </c>
      <c r="N236" s="104">
        <v>79.5</v>
      </c>
      <c r="O236" s="50">
        <v>85.3</v>
      </c>
      <c r="P236" s="50">
        <v>85.3</v>
      </c>
      <c r="Q236" s="50">
        <v>91.6</v>
      </c>
      <c r="R236" s="50">
        <v>91.6</v>
      </c>
    </row>
    <row r="237" spans="1:18" ht="30">
      <c r="A237" s="13"/>
      <c r="B237" s="4" t="s">
        <v>86</v>
      </c>
      <c r="C237" s="3" t="s">
        <v>5</v>
      </c>
      <c r="D237" s="57">
        <v>23.4</v>
      </c>
      <c r="E237" s="62">
        <v>260.2</v>
      </c>
      <c r="F237" s="62">
        <v>100</v>
      </c>
      <c r="G237" s="62">
        <v>100</v>
      </c>
      <c r="H237" s="62">
        <v>100</v>
      </c>
      <c r="I237" s="62">
        <v>101</v>
      </c>
      <c r="J237" s="62">
        <v>101</v>
      </c>
      <c r="K237" s="62">
        <v>103</v>
      </c>
      <c r="L237" s="62">
        <v>103</v>
      </c>
      <c r="M237" s="62">
        <v>103</v>
      </c>
      <c r="N237" s="62">
        <v>103</v>
      </c>
      <c r="O237" s="62">
        <v>103</v>
      </c>
      <c r="P237" s="62">
        <v>103</v>
      </c>
      <c r="Q237" s="62">
        <v>103</v>
      </c>
      <c r="R237" s="62">
        <v>103</v>
      </c>
    </row>
    <row r="238" spans="1:18" ht="45">
      <c r="A238" s="13"/>
      <c r="B238" s="4" t="s">
        <v>96</v>
      </c>
      <c r="C238" s="3" t="s">
        <v>89</v>
      </c>
      <c r="D238" s="60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1">
        <v>0</v>
      </c>
    </row>
    <row r="239" spans="1:18" ht="30">
      <c r="A239" s="13"/>
      <c r="B239" s="4" t="s">
        <v>86</v>
      </c>
      <c r="C239" s="3" t="s">
        <v>5</v>
      </c>
      <c r="D239" s="63">
        <v>0</v>
      </c>
      <c r="E239" s="62">
        <v>0</v>
      </c>
      <c r="F239" s="62">
        <v>0</v>
      </c>
      <c r="G239" s="62">
        <v>0</v>
      </c>
      <c r="H239" s="62">
        <v>0</v>
      </c>
      <c r="I239" s="62">
        <v>0</v>
      </c>
      <c r="J239" s="62">
        <v>0</v>
      </c>
      <c r="K239" s="62">
        <v>0</v>
      </c>
      <c r="L239" s="62">
        <v>0</v>
      </c>
      <c r="M239" s="62">
        <v>0</v>
      </c>
      <c r="N239" s="62">
        <v>0</v>
      </c>
      <c r="O239" s="62">
        <v>0</v>
      </c>
      <c r="P239" s="62">
        <v>0</v>
      </c>
      <c r="Q239" s="62">
        <v>0</v>
      </c>
      <c r="R239" s="62">
        <v>0</v>
      </c>
    </row>
    <row r="240" spans="1:18" ht="45">
      <c r="A240" s="13"/>
      <c r="B240" s="4" t="s">
        <v>97</v>
      </c>
      <c r="C240" s="3" t="s">
        <v>89</v>
      </c>
      <c r="D240" s="97">
        <v>754.9</v>
      </c>
      <c r="E240" s="61">
        <v>1080.4</v>
      </c>
      <c r="F240" s="61">
        <v>1298.4</v>
      </c>
      <c r="G240" s="61">
        <v>1382.6</v>
      </c>
      <c r="H240" s="61">
        <v>1396.2</v>
      </c>
      <c r="I240" s="61">
        <v>1457.9</v>
      </c>
      <c r="J240" s="61">
        <v>1486.7</v>
      </c>
      <c r="K240" s="61">
        <v>1534.3</v>
      </c>
      <c r="L240" s="61">
        <v>1572.4</v>
      </c>
      <c r="M240" s="50">
        <v>1614.7</v>
      </c>
      <c r="N240" s="50">
        <v>1663</v>
      </c>
      <c r="O240" s="50">
        <v>1699.4</v>
      </c>
      <c r="P240" s="50">
        <v>1758.9</v>
      </c>
      <c r="Q240" s="50">
        <v>1788.5</v>
      </c>
      <c r="R240" s="50">
        <v>1860.3</v>
      </c>
    </row>
    <row r="241" spans="1:18" ht="30">
      <c r="A241" s="13"/>
      <c r="B241" s="4" t="s">
        <v>86</v>
      </c>
      <c r="C241" s="3" t="s">
        <v>5</v>
      </c>
      <c r="D241" s="57">
        <v>45.1</v>
      </c>
      <c r="E241" s="62">
        <v>135.9</v>
      </c>
      <c r="F241" s="62">
        <v>115</v>
      </c>
      <c r="G241" s="62">
        <v>102</v>
      </c>
      <c r="H241" s="62">
        <v>103</v>
      </c>
      <c r="I241" s="62">
        <v>101</v>
      </c>
      <c r="J241" s="62">
        <v>102</v>
      </c>
      <c r="K241" s="62">
        <v>101</v>
      </c>
      <c r="L241" s="62">
        <v>101.5</v>
      </c>
      <c r="M241" s="62">
        <v>101</v>
      </c>
      <c r="N241" s="62">
        <v>101.5</v>
      </c>
      <c r="O241" s="62">
        <v>101</v>
      </c>
      <c r="P241" s="62">
        <v>101.5</v>
      </c>
      <c r="Q241" s="62">
        <v>101</v>
      </c>
      <c r="R241" s="62">
        <v>101.5</v>
      </c>
    </row>
    <row r="242" spans="1:18" ht="45">
      <c r="A242" s="13"/>
      <c r="B242" s="4" t="s">
        <v>98</v>
      </c>
      <c r="C242" s="3" t="s">
        <v>89</v>
      </c>
      <c r="D242" s="60"/>
      <c r="E242" s="61"/>
      <c r="F242" s="61"/>
      <c r="G242" s="61"/>
      <c r="H242" s="61"/>
      <c r="I242" s="61"/>
      <c r="J242" s="61"/>
      <c r="K242" s="61"/>
      <c r="L242" s="61"/>
      <c r="M242" s="52"/>
      <c r="N242" s="52"/>
      <c r="O242" s="52"/>
      <c r="P242" s="52"/>
      <c r="Q242" s="52"/>
      <c r="R242" s="52"/>
    </row>
    <row r="243" spans="1:18" ht="30">
      <c r="A243" s="13"/>
      <c r="B243" s="4" t="s">
        <v>86</v>
      </c>
      <c r="C243" s="3" t="s">
        <v>5</v>
      </c>
      <c r="D243" s="63"/>
      <c r="E243" s="62"/>
      <c r="F243" s="62"/>
      <c r="G243" s="62"/>
      <c r="H243" s="62"/>
      <c r="I243" s="62"/>
      <c r="J243" s="62"/>
      <c r="K243" s="62"/>
      <c r="L243" s="62"/>
      <c r="M243" s="52"/>
      <c r="N243" s="52"/>
      <c r="O243" s="52"/>
      <c r="P243" s="52"/>
      <c r="Q243" s="52"/>
      <c r="R243" s="52"/>
    </row>
    <row r="244" spans="1:18" ht="45">
      <c r="A244" s="13"/>
      <c r="B244" s="4" t="s">
        <v>99</v>
      </c>
      <c r="C244" s="3" t="s">
        <v>89</v>
      </c>
      <c r="D244" s="60">
        <v>3</v>
      </c>
      <c r="E244" s="61">
        <v>4.4</v>
      </c>
      <c r="F244" s="61">
        <v>4.9</v>
      </c>
      <c r="G244" s="61">
        <v>5.1</v>
      </c>
      <c r="H244" s="61">
        <v>5.1</v>
      </c>
      <c r="I244" s="61">
        <v>5.3</v>
      </c>
      <c r="J244" s="61">
        <v>5.4</v>
      </c>
      <c r="K244" s="61">
        <v>5.5</v>
      </c>
      <c r="L244" s="61">
        <v>5.7</v>
      </c>
      <c r="M244" s="105">
        <v>5.8</v>
      </c>
      <c r="N244" s="104">
        <v>6</v>
      </c>
      <c r="O244" s="104">
        <v>6</v>
      </c>
      <c r="P244" s="50">
        <v>6.3</v>
      </c>
      <c r="Q244" s="50">
        <v>6.3</v>
      </c>
      <c r="R244" s="50">
        <v>6.6</v>
      </c>
    </row>
    <row r="245" spans="1:18" ht="30">
      <c r="A245" s="13"/>
      <c r="B245" s="4" t="s">
        <v>86</v>
      </c>
      <c r="C245" s="3" t="s">
        <v>5</v>
      </c>
      <c r="D245" s="63">
        <v>97</v>
      </c>
      <c r="E245" s="62">
        <v>139.3</v>
      </c>
      <c r="F245" s="62">
        <v>106</v>
      </c>
      <c r="G245" s="62">
        <v>100</v>
      </c>
      <c r="H245" s="62">
        <v>101</v>
      </c>
      <c r="I245" s="62">
        <v>100</v>
      </c>
      <c r="J245" s="62">
        <v>101</v>
      </c>
      <c r="K245" s="62">
        <v>100</v>
      </c>
      <c r="L245" s="62">
        <v>101</v>
      </c>
      <c r="M245" s="62">
        <v>101</v>
      </c>
      <c r="N245" s="62">
        <v>101</v>
      </c>
      <c r="O245" s="62">
        <v>101</v>
      </c>
      <c r="P245" s="62">
        <v>101</v>
      </c>
      <c r="Q245" s="62">
        <v>100</v>
      </c>
      <c r="R245" s="62">
        <v>101</v>
      </c>
    </row>
    <row r="246" spans="1:18" ht="45">
      <c r="A246" s="13"/>
      <c r="B246" s="4" t="s">
        <v>100</v>
      </c>
      <c r="C246" s="3" t="s">
        <v>89</v>
      </c>
      <c r="D246" s="60">
        <v>30.4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  <c r="R246" s="61">
        <v>0</v>
      </c>
    </row>
    <row r="247" spans="1:18" ht="30">
      <c r="A247" s="13"/>
      <c r="B247" s="4" t="s">
        <v>86</v>
      </c>
      <c r="C247" s="3" t="s">
        <v>5</v>
      </c>
      <c r="D247" s="57">
        <v>7.1</v>
      </c>
      <c r="E247" s="62">
        <v>0</v>
      </c>
      <c r="F247" s="62">
        <v>0</v>
      </c>
      <c r="G247" s="62">
        <v>0</v>
      </c>
      <c r="H247" s="62">
        <v>0</v>
      </c>
      <c r="I247" s="62">
        <v>0</v>
      </c>
      <c r="J247" s="62">
        <v>0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0</v>
      </c>
      <c r="Q247" s="62">
        <v>0</v>
      </c>
      <c r="R247" s="62">
        <v>0</v>
      </c>
    </row>
    <row r="248" spans="1:18" ht="45">
      <c r="A248" s="13"/>
      <c r="B248" s="4" t="s">
        <v>101</v>
      </c>
      <c r="C248" s="3" t="s">
        <v>89</v>
      </c>
      <c r="D248" s="48"/>
      <c r="E248" s="48"/>
      <c r="F248" s="48"/>
      <c r="G248" s="48"/>
      <c r="H248" s="48"/>
      <c r="I248" s="48"/>
      <c r="J248" s="48"/>
      <c r="K248" s="48"/>
      <c r="L248" s="48"/>
      <c r="M248" s="52"/>
      <c r="N248" s="52"/>
      <c r="O248" s="52"/>
      <c r="P248" s="52"/>
      <c r="Q248" s="52"/>
      <c r="R248" s="52"/>
    </row>
    <row r="249" spans="1:18" ht="30">
      <c r="A249" s="13"/>
      <c r="B249" s="4" t="s">
        <v>86</v>
      </c>
      <c r="C249" s="3" t="s">
        <v>5</v>
      </c>
      <c r="D249" s="48"/>
      <c r="E249" s="48"/>
      <c r="F249" s="48"/>
      <c r="G249" s="48"/>
      <c r="H249" s="48"/>
      <c r="I249" s="48"/>
      <c r="J249" s="48"/>
      <c r="K249" s="48"/>
      <c r="L249" s="48"/>
      <c r="M249" s="52"/>
      <c r="N249" s="52"/>
      <c r="O249" s="52"/>
      <c r="P249" s="52"/>
      <c r="Q249" s="52"/>
      <c r="R249" s="52"/>
    </row>
    <row r="250" spans="1:18" ht="45">
      <c r="A250" s="13"/>
      <c r="B250" s="4" t="s">
        <v>102</v>
      </c>
      <c r="C250" s="3" t="s">
        <v>89</v>
      </c>
      <c r="D250" s="48"/>
      <c r="E250" s="48"/>
      <c r="F250" s="48"/>
      <c r="G250" s="48"/>
      <c r="H250" s="48"/>
      <c r="I250" s="48"/>
      <c r="J250" s="48"/>
      <c r="K250" s="48"/>
      <c r="L250" s="48"/>
      <c r="M250" s="52"/>
      <c r="N250" s="52"/>
      <c r="O250" s="52"/>
      <c r="P250" s="52"/>
      <c r="Q250" s="52"/>
      <c r="R250" s="52"/>
    </row>
    <row r="251" spans="1:18" ht="30">
      <c r="A251" s="13"/>
      <c r="B251" s="4" t="s">
        <v>86</v>
      </c>
      <c r="C251" s="3" t="s">
        <v>5</v>
      </c>
      <c r="D251" s="48"/>
      <c r="E251" s="48"/>
      <c r="F251" s="48"/>
      <c r="G251" s="48"/>
      <c r="H251" s="48"/>
      <c r="I251" s="48"/>
      <c r="J251" s="48"/>
      <c r="K251" s="48"/>
      <c r="L251" s="48"/>
      <c r="M251" s="52"/>
      <c r="N251" s="52"/>
      <c r="O251" s="52"/>
      <c r="P251" s="52"/>
      <c r="Q251" s="52"/>
      <c r="R251" s="52"/>
    </row>
    <row r="252" spans="1:18" ht="45">
      <c r="A252" s="13"/>
      <c r="B252" s="4" t="s">
        <v>103</v>
      </c>
      <c r="C252" s="3" t="s">
        <v>89</v>
      </c>
      <c r="D252" s="97">
        <v>3.9</v>
      </c>
      <c r="E252" s="61">
        <v>6.8</v>
      </c>
      <c r="F252" s="61">
        <v>6.8</v>
      </c>
      <c r="G252" s="61">
        <v>7</v>
      </c>
      <c r="H252" s="61">
        <v>7</v>
      </c>
      <c r="I252" s="61">
        <v>7.4</v>
      </c>
      <c r="J252" s="61">
        <v>7.4</v>
      </c>
      <c r="K252" s="61">
        <v>7.7</v>
      </c>
      <c r="L252" s="61">
        <v>7.7</v>
      </c>
      <c r="M252" s="104">
        <v>8</v>
      </c>
      <c r="N252" s="104">
        <v>8</v>
      </c>
      <c r="O252" s="50">
        <v>8.3</v>
      </c>
      <c r="P252" s="50">
        <v>8.3</v>
      </c>
      <c r="Q252" s="50">
        <v>8.7</v>
      </c>
      <c r="R252" s="50">
        <v>8.7</v>
      </c>
    </row>
    <row r="253" spans="1:18" ht="30">
      <c r="A253" s="13"/>
      <c r="B253" s="4" t="s">
        <v>86</v>
      </c>
      <c r="C253" s="3" t="s">
        <v>5</v>
      </c>
      <c r="D253" s="57">
        <v>56</v>
      </c>
      <c r="E253" s="62">
        <v>165.6</v>
      </c>
      <c r="F253" s="62">
        <v>95</v>
      </c>
      <c r="G253" s="62">
        <v>100</v>
      </c>
      <c r="H253" s="62">
        <v>100</v>
      </c>
      <c r="I253" s="62">
        <v>100</v>
      </c>
      <c r="J253" s="62">
        <v>100</v>
      </c>
      <c r="K253" s="62">
        <v>100</v>
      </c>
      <c r="L253" s="62">
        <v>100</v>
      </c>
      <c r="M253" s="62">
        <v>100</v>
      </c>
      <c r="N253" s="62">
        <v>100</v>
      </c>
      <c r="O253" s="62">
        <v>100</v>
      </c>
      <c r="P253" s="62">
        <v>100</v>
      </c>
      <c r="Q253" s="62">
        <v>100</v>
      </c>
      <c r="R253" s="62">
        <v>100</v>
      </c>
    </row>
    <row r="254" spans="1:18" ht="45">
      <c r="A254" s="13"/>
      <c r="B254" s="4" t="s">
        <v>104</v>
      </c>
      <c r="C254" s="3" t="s">
        <v>89</v>
      </c>
      <c r="D254" s="60">
        <v>38</v>
      </c>
      <c r="E254" s="61">
        <v>45.9</v>
      </c>
      <c r="F254" s="61">
        <v>48</v>
      </c>
      <c r="G254" s="61">
        <v>50.1</v>
      </c>
      <c r="H254" s="61">
        <v>50.6</v>
      </c>
      <c r="I254" s="61">
        <v>52.3</v>
      </c>
      <c r="J254" s="61">
        <v>53.3</v>
      </c>
      <c r="K254" s="61">
        <v>54.5</v>
      </c>
      <c r="L254" s="61">
        <v>56.1</v>
      </c>
      <c r="M254" s="50">
        <v>56.8</v>
      </c>
      <c r="N254" s="50">
        <v>59.1</v>
      </c>
      <c r="O254" s="50">
        <v>59.1</v>
      </c>
      <c r="P254" s="50">
        <v>62.2</v>
      </c>
      <c r="Q254" s="50">
        <v>61.6</v>
      </c>
      <c r="R254" s="50">
        <v>65.4</v>
      </c>
    </row>
    <row r="255" spans="1:18" ht="30">
      <c r="A255" s="13"/>
      <c r="B255" s="4" t="s">
        <v>86</v>
      </c>
      <c r="C255" s="3" t="s">
        <v>5</v>
      </c>
      <c r="D255" s="57">
        <v>70.3</v>
      </c>
      <c r="E255" s="62">
        <v>114.7</v>
      </c>
      <c r="F255" s="62">
        <v>100</v>
      </c>
      <c r="G255" s="62">
        <v>100</v>
      </c>
      <c r="H255" s="62">
        <v>101</v>
      </c>
      <c r="I255" s="62">
        <v>100</v>
      </c>
      <c r="J255" s="62">
        <v>101</v>
      </c>
      <c r="K255" s="62">
        <v>100</v>
      </c>
      <c r="L255" s="62">
        <v>101</v>
      </c>
      <c r="M255" s="62">
        <v>100</v>
      </c>
      <c r="N255" s="62">
        <v>101</v>
      </c>
      <c r="O255" s="62">
        <v>100</v>
      </c>
      <c r="P255" s="62">
        <v>101</v>
      </c>
      <c r="Q255" s="62">
        <v>100</v>
      </c>
      <c r="R255" s="62">
        <v>101</v>
      </c>
    </row>
    <row r="256" spans="1:18" ht="45">
      <c r="A256" s="13"/>
      <c r="B256" s="4" t="s">
        <v>105</v>
      </c>
      <c r="C256" s="3" t="s">
        <v>89</v>
      </c>
      <c r="D256" s="97">
        <v>10.1</v>
      </c>
      <c r="E256" s="61">
        <v>10.4</v>
      </c>
      <c r="F256" s="61">
        <v>10.9</v>
      </c>
      <c r="G256" s="61">
        <v>11.3</v>
      </c>
      <c r="H256" s="61">
        <v>11.5</v>
      </c>
      <c r="I256" s="61">
        <v>11.8</v>
      </c>
      <c r="J256" s="61">
        <v>12.1</v>
      </c>
      <c r="K256" s="61">
        <v>12.3</v>
      </c>
      <c r="L256" s="61">
        <v>12.7</v>
      </c>
      <c r="M256" s="50">
        <v>12.9</v>
      </c>
      <c r="N256" s="50">
        <v>13.4</v>
      </c>
      <c r="O256" s="50">
        <v>13.4</v>
      </c>
      <c r="P256" s="50">
        <v>14.1</v>
      </c>
      <c r="Q256" s="104">
        <v>14</v>
      </c>
      <c r="R256" s="50">
        <v>14.8</v>
      </c>
    </row>
    <row r="257" spans="1:18" ht="30">
      <c r="A257" s="13"/>
      <c r="B257" s="4" t="s">
        <v>86</v>
      </c>
      <c r="C257" s="3" t="s">
        <v>5</v>
      </c>
      <c r="D257" s="57">
        <v>75.3</v>
      </c>
      <c r="E257" s="62">
        <v>97.8</v>
      </c>
      <c r="F257" s="62">
        <v>100</v>
      </c>
      <c r="G257" s="62">
        <v>100</v>
      </c>
      <c r="H257" s="62">
        <v>101</v>
      </c>
      <c r="I257" s="62">
        <v>100</v>
      </c>
      <c r="J257" s="62">
        <v>101</v>
      </c>
      <c r="K257" s="62">
        <v>100</v>
      </c>
      <c r="L257" s="62">
        <v>101</v>
      </c>
      <c r="M257" s="62">
        <v>100</v>
      </c>
      <c r="N257" s="62">
        <v>101</v>
      </c>
      <c r="O257" s="62">
        <v>100</v>
      </c>
      <c r="P257" s="62">
        <v>101</v>
      </c>
      <c r="Q257" s="62">
        <v>100</v>
      </c>
      <c r="R257" s="62">
        <v>101</v>
      </c>
    </row>
    <row r="258" spans="1:18" ht="45">
      <c r="A258" s="13"/>
      <c r="B258" s="4" t="s">
        <v>106</v>
      </c>
      <c r="C258" s="3" t="s">
        <v>89</v>
      </c>
      <c r="D258" s="97">
        <v>236.3</v>
      </c>
      <c r="E258" s="61">
        <v>133</v>
      </c>
      <c r="F258" s="61">
        <v>97.3</v>
      </c>
      <c r="G258" s="61">
        <v>101.6</v>
      </c>
      <c r="H258" s="61">
        <v>102.6</v>
      </c>
      <c r="I258" s="61">
        <v>107.1</v>
      </c>
      <c r="J258" s="61">
        <v>109.2</v>
      </c>
      <c r="K258" s="61">
        <v>112.7</v>
      </c>
      <c r="L258" s="61">
        <v>116.1</v>
      </c>
      <c r="M258" s="50">
        <v>118.6</v>
      </c>
      <c r="N258" s="50">
        <v>123.4</v>
      </c>
      <c r="O258" s="50">
        <v>124.8</v>
      </c>
      <c r="P258" s="50">
        <v>131.2</v>
      </c>
      <c r="Q258" s="50">
        <v>131.4</v>
      </c>
      <c r="R258" s="50">
        <v>139.4</v>
      </c>
    </row>
    <row r="259" spans="1:18" ht="30">
      <c r="A259" s="13"/>
      <c r="B259" s="4" t="s">
        <v>86</v>
      </c>
      <c r="C259" s="3" t="s">
        <v>5</v>
      </c>
      <c r="D259" s="57">
        <v>89.3</v>
      </c>
      <c r="E259" s="62">
        <v>53.5</v>
      </c>
      <c r="F259" s="62">
        <v>70</v>
      </c>
      <c r="G259" s="62">
        <v>100</v>
      </c>
      <c r="H259" s="62">
        <v>101</v>
      </c>
      <c r="I259" s="62">
        <v>101</v>
      </c>
      <c r="J259" s="62">
        <v>102</v>
      </c>
      <c r="K259" s="62">
        <v>101</v>
      </c>
      <c r="L259" s="62">
        <v>102</v>
      </c>
      <c r="M259" s="62">
        <v>101</v>
      </c>
      <c r="N259" s="62">
        <v>102</v>
      </c>
      <c r="O259" s="62">
        <v>101</v>
      </c>
      <c r="P259" s="62">
        <v>102</v>
      </c>
      <c r="Q259" s="62">
        <v>101</v>
      </c>
      <c r="R259" s="62">
        <v>102</v>
      </c>
    </row>
    <row r="260" spans="1:18" ht="45">
      <c r="A260" s="13"/>
      <c r="B260" s="4" t="s">
        <v>107</v>
      </c>
      <c r="C260" s="3" t="s">
        <v>89</v>
      </c>
      <c r="D260" s="48">
        <v>0</v>
      </c>
      <c r="E260" s="48">
        <v>2.3</v>
      </c>
      <c r="F260" s="48">
        <v>2.4</v>
      </c>
      <c r="G260" s="48">
        <v>2.5</v>
      </c>
      <c r="H260" s="48">
        <v>2.5</v>
      </c>
      <c r="I260" s="48">
        <v>2.6</v>
      </c>
      <c r="J260" s="48">
        <v>2.7</v>
      </c>
      <c r="K260" s="48">
        <v>2.8</v>
      </c>
      <c r="L260" s="48">
        <v>2.9</v>
      </c>
      <c r="M260" s="48">
        <v>2.9</v>
      </c>
      <c r="N260" s="107">
        <v>3</v>
      </c>
      <c r="O260" s="48">
        <v>3.1</v>
      </c>
      <c r="P260" s="48">
        <v>3.2</v>
      </c>
      <c r="Q260" s="48">
        <v>3.2</v>
      </c>
      <c r="R260" s="48">
        <v>3.4</v>
      </c>
    </row>
    <row r="261" spans="1:18" ht="30">
      <c r="A261" s="13"/>
      <c r="B261" s="4" t="s">
        <v>86</v>
      </c>
      <c r="C261" s="3" t="s">
        <v>5</v>
      </c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1:18" ht="90">
      <c r="A262" s="13"/>
      <c r="B262" s="4" t="s">
        <v>108</v>
      </c>
      <c r="C262" s="3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</row>
    <row r="263" spans="1:18" ht="15">
      <c r="A263" s="13"/>
      <c r="B263" s="4" t="s">
        <v>13</v>
      </c>
      <c r="C263" s="3" t="s">
        <v>14</v>
      </c>
      <c r="D263" s="28">
        <v>676.5</v>
      </c>
      <c r="E263" s="55">
        <v>1175.2</v>
      </c>
      <c r="F263" s="55">
        <v>1312.7</v>
      </c>
      <c r="G263" s="55">
        <v>1404.7</v>
      </c>
      <c r="H263" s="55">
        <v>1411.6</v>
      </c>
      <c r="I263" s="55">
        <v>1485.6</v>
      </c>
      <c r="J263" s="55">
        <v>1503.2</v>
      </c>
      <c r="K263" s="55">
        <v>1566.6</v>
      </c>
      <c r="L263" s="55">
        <v>1589.8</v>
      </c>
      <c r="M263" s="48">
        <v>1648.7</v>
      </c>
      <c r="N263" s="48">
        <v>1681.4</v>
      </c>
      <c r="O263" s="48">
        <v>1735.1</v>
      </c>
      <c r="P263" s="48">
        <v>1778.3</v>
      </c>
      <c r="Q263" s="48">
        <v>1826.1</v>
      </c>
      <c r="R263" s="48">
        <v>1880.8</v>
      </c>
    </row>
    <row r="264" spans="1:18" ht="15">
      <c r="A264" s="13"/>
      <c r="B264" s="4" t="s">
        <v>109</v>
      </c>
      <c r="C264" s="3" t="s">
        <v>14</v>
      </c>
      <c r="D264" s="28">
        <v>515.8</v>
      </c>
      <c r="E264" s="53">
        <v>428</v>
      </c>
      <c r="F264" s="28">
        <v>416.6</v>
      </c>
      <c r="G264" s="28">
        <v>429.8</v>
      </c>
      <c r="H264" s="28">
        <v>438.3</v>
      </c>
      <c r="I264" s="28">
        <v>447.9</v>
      </c>
      <c r="J264" s="28">
        <v>465.1</v>
      </c>
      <c r="K264" s="28">
        <v>468.9</v>
      </c>
      <c r="L264" s="28">
        <v>491.9</v>
      </c>
      <c r="M264" s="28">
        <v>494.2</v>
      </c>
      <c r="N264" s="28">
        <v>520.3</v>
      </c>
      <c r="O264" s="28">
        <v>521</v>
      </c>
      <c r="P264" s="28">
        <v>550.4</v>
      </c>
      <c r="Q264" s="28">
        <v>549.1</v>
      </c>
      <c r="R264" s="28">
        <v>582.2</v>
      </c>
    </row>
    <row r="265" spans="1:18" ht="15">
      <c r="A265" s="13"/>
      <c r="B265" s="4" t="s">
        <v>110</v>
      </c>
      <c r="C265" s="3" t="s">
        <v>14</v>
      </c>
      <c r="D265" s="28">
        <v>2.6</v>
      </c>
      <c r="E265" s="55">
        <v>1.4</v>
      </c>
      <c r="F265" s="55">
        <v>1.5</v>
      </c>
      <c r="G265" s="55">
        <v>1.6</v>
      </c>
      <c r="H265" s="55">
        <v>1.6</v>
      </c>
      <c r="I265" s="55">
        <v>1.7</v>
      </c>
      <c r="J265" s="55">
        <v>1.7</v>
      </c>
      <c r="K265" s="55">
        <v>1.8</v>
      </c>
      <c r="L265" s="55">
        <v>1.8</v>
      </c>
      <c r="M265" s="107">
        <v>2</v>
      </c>
      <c r="N265" s="107">
        <v>2</v>
      </c>
      <c r="O265" s="48">
        <v>2.1</v>
      </c>
      <c r="P265" s="48">
        <v>2.1</v>
      </c>
      <c r="Q265" s="48">
        <v>2.3</v>
      </c>
      <c r="R265" s="48">
        <v>2.3</v>
      </c>
    </row>
    <row r="266" spans="1:18" ht="15">
      <c r="A266" s="13"/>
      <c r="B266" s="4" t="s">
        <v>15</v>
      </c>
      <c r="C266" s="3" t="s">
        <v>14</v>
      </c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1:18" ht="15">
      <c r="A267" s="13"/>
      <c r="B267" s="4" t="s">
        <v>111</v>
      </c>
      <c r="C267" s="3" t="s">
        <v>14</v>
      </c>
      <c r="D267" s="28">
        <v>502.3</v>
      </c>
      <c r="E267" s="28">
        <v>407.4</v>
      </c>
      <c r="F267" s="28">
        <v>402.6</v>
      </c>
      <c r="G267" s="28">
        <v>406.7</v>
      </c>
      <c r="H267" s="28">
        <v>414.9</v>
      </c>
      <c r="I267" s="28">
        <v>413.3</v>
      </c>
      <c r="J267" s="28">
        <v>426.2</v>
      </c>
      <c r="K267" s="28">
        <v>419.9</v>
      </c>
      <c r="L267" s="28">
        <v>437.6</v>
      </c>
      <c r="M267" s="54">
        <v>438.2</v>
      </c>
      <c r="N267" s="54">
        <v>461.5</v>
      </c>
      <c r="O267" s="54">
        <v>459.9</v>
      </c>
      <c r="P267" s="54">
        <v>485.6</v>
      </c>
      <c r="Q267" s="54">
        <v>481.7</v>
      </c>
      <c r="R267" s="54">
        <v>509.7</v>
      </c>
    </row>
    <row r="268" spans="1:18" ht="15">
      <c r="A268" s="13"/>
      <c r="B268" s="4" t="s">
        <v>112</v>
      </c>
      <c r="C268" s="3"/>
      <c r="D268" s="28"/>
      <c r="E268" s="55"/>
      <c r="F268" s="55"/>
      <c r="G268" s="55"/>
      <c r="H268" s="55"/>
      <c r="I268" s="55"/>
      <c r="J268" s="55"/>
      <c r="K268" s="55"/>
      <c r="L268" s="55"/>
      <c r="M268" s="48"/>
      <c r="N268" s="48"/>
      <c r="O268" s="48"/>
      <c r="P268" s="48"/>
      <c r="Q268" s="48"/>
      <c r="R268" s="48"/>
    </row>
    <row r="269" spans="1:18" ht="15">
      <c r="A269" s="13"/>
      <c r="B269" s="4" t="s">
        <v>113</v>
      </c>
      <c r="C269" s="3" t="s">
        <v>14</v>
      </c>
      <c r="D269" s="28">
        <v>2.6</v>
      </c>
      <c r="E269" s="55">
        <v>0.4</v>
      </c>
      <c r="F269" s="55">
        <v>2.7</v>
      </c>
      <c r="G269" s="55">
        <v>2.7</v>
      </c>
      <c r="H269" s="55">
        <v>2.9</v>
      </c>
      <c r="I269" s="55">
        <v>2.9</v>
      </c>
      <c r="J269" s="55">
        <v>3.2</v>
      </c>
      <c r="K269" s="55">
        <v>3.1</v>
      </c>
      <c r="L269" s="55">
        <v>3.5</v>
      </c>
      <c r="M269" s="55">
        <v>3.1</v>
      </c>
      <c r="N269" s="55">
        <v>3.5</v>
      </c>
      <c r="O269" s="55">
        <v>3.1</v>
      </c>
      <c r="P269" s="55">
        <v>3.5</v>
      </c>
      <c r="Q269" s="55">
        <v>3.1</v>
      </c>
      <c r="R269" s="55">
        <v>3.5</v>
      </c>
    </row>
    <row r="270" spans="1:18" ht="30">
      <c r="A270" s="13"/>
      <c r="B270" s="4" t="s">
        <v>114</v>
      </c>
      <c r="C270" s="3" t="s">
        <v>14</v>
      </c>
      <c r="D270" s="28">
        <v>499.7</v>
      </c>
      <c r="E270" s="55">
        <v>407</v>
      </c>
      <c r="F270" s="55">
        <v>399.9</v>
      </c>
      <c r="G270" s="55">
        <v>404</v>
      </c>
      <c r="H270" s="55">
        <v>412</v>
      </c>
      <c r="I270" s="55">
        <v>410.4</v>
      </c>
      <c r="J270" s="55">
        <v>423</v>
      </c>
      <c r="K270" s="55">
        <v>416.8</v>
      </c>
      <c r="L270" s="55">
        <v>434.1</v>
      </c>
      <c r="M270" s="7">
        <v>435.1</v>
      </c>
      <c r="N270" s="7">
        <v>458</v>
      </c>
      <c r="O270" s="7">
        <v>456.8</v>
      </c>
      <c r="P270" s="7">
        <v>482.1</v>
      </c>
      <c r="Q270" s="7">
        <v>478.6</v>
      </c>
      <c r="R270" s="7">
        <v>506.2</v>
      </c>
    </row>
    <row r="271" spans="1:18" ht="15">
      <c r="A271" s="13"/>
      <c r="B271" s="4" t="s">
        <v>115</v>
      </c>
      <c r="C271" s="3" t="s">
        <v>14</v>
      </c>
      <c r="D271" s="28">
        <v>65.2</v>
      </c>
      <c r="E271" s="55">
        <v>62.7</v>
      </c>
      <c r="F271" s="55">
        <v>59.1</v>
      </c>
      <c r="G271" s="55">
        <v>60</v>
      </c>
      <c r="H271" s="55">
        <v>62</v>
      </c>
      <c r="I271" s="55">
        <v>63</v>
      </c>
      <c r="J271" s="55">
        <v>66</v>
      </c>
      <c r="K271" s="55">
        <v>66</v>
      </c>
      <c r="L271" s="55">
        <v>70</v>
      </c>
      <c r="M271" s="107">
        <v>59</v>
      </c>
      <c r="N271" s="48">
        <v>74.1</v>
      </c>
      <c r="O271" s="48">
        <v>72.3</v>
      </c>
      <c r="P271" s="48">
        <v>78.3</v>
      </c>
      <c r="Q271" s="48">
        <v>75.9</v>
      </c>
      <c r="R271" s="48">
        <v>83.2</v>
      </c>
    </row>
    <row r="272" spans="1:18" ht="15">
      <c r="A272" s="13"/>
      <c r="B272" s="4" t="s">
        <v>16</v>
      </c>
      <c r="C272" s="3" t="s">
        <v>14</v>
      </c>
      <c r="D272" s="48">
        <f>SUM(D264-D265-D267)</f>
        <v>10.89999999999992</v>
      </c>
      <c r="E272" s="48">
        <f>SUM(E264-E265-E267)</f>
        <v>19.200000000000045</v>
      </c>
      <c r="F272" s="48">
        <f aca="true" t="shared" si="26" ref="F272:R272">SUM(F264-F265-F267)</f>
        <v>12.5</v>
      </c>
      <c r="G272" s="48">
        <f t="shared" si="26"/>
        <v>21.5</v>
      </c>
      <c r="H272" s="48">
        <f t="shared" si="26"/>
        <v>21.80000000000001</v>
      </c>
      <c r="I272" s="48">
        <f t="shared" si="26"/>
        <v>32.89999999999998</v>
      </c>
      <c r="J272" s="48">
        <f t="shared" si="26"/>
        <v>37.200000000000045</v>
      </c>
      <c r="K272" s="48">
        <f t="shared" si="26"/>
        <v>47.19999999999999</v>
      </c>
      <c r="L272" s="48">
        <f t="shared" si="26"/>
        <v>52.49999999999994</v>
      </c>
      <c r="M272" s="107">
        <f t="shared" si="26"/>
        <v>54</v>
      </c>
      <c r="N272" s="48">
        <f t="shared" si="26"/>
        <v>56.799999999999955</v>
      </c>
      <c r="O272" s="48">
        <f t="shared" si="26"/>
        <v>59</v>
      </c>
      <c r="P272" s="48">
        <f t="shared" si="26"/>
        <v>62.69999999999993</v>
      </c>
      <c r="Q272" s="48">
        <f t="shared" si="26"/>
        <v>65.10000000000008</v>
      </c>
      <c r="R272" s="48">
        <f t="shared" si="26"/>
        <v>70.2000000000001</v>
      </c>
    </row>
    <row r="273" spans="1:19" s="18" customFormat="1" ht="31.5" customHeight="1">
      <c r="A273" s="35" t="s">
        <v>356</v>
      </c>
      <c r="B273" s="114" t="s">
        <v>357</v>
      </c>
      <c r="C273" s="43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111"/>
    </row>
    <row r="274" spans="1:18" ht="45">
      <c r="A274" s="13"/>
      <c r="B274" s="1" t="s">
        <v>379</v>
      </c>
      <c r="C274" s="3" t="s">
        <v>2</v>
      </c>
      <c r="D274" s="56">
        <f>SUM(D275+D288)</f>
        <v>3692.8999999999996</v>
      </c>
      <c r="E274" s="56">
        <f aca="true" t="shared" si="27" ref="E274:R274">SUM(E275+E288)</f>
        <v>3725.2</v>
      </c>
      <c r="F274" s="56">
        <f t="shared" si="27"/>
        <v>3130.1</v>
      </c>
      <c r="G274" s="56">
        <f t="shared" si="27"/>
        <v>2640.7999999999997</v>
      </c>
      <c r="H274" s="56">
        <f t="shared" si="27"/>
        <v>2667.219</v>
      </c>
      <c r="I274" s="56">
        <f t="shared" si="27"/>
        <v>2556</v>
      </c>
      <c r="J274" s="56">
        <f t="shared" si="27"/>
        <v>2581.5730000000003</v>
      </c>
      <c r="K274" s="56">
        <f t="shared" si="27"/>
        <v>2588.8</v>
      </c>
      <c r="L274" s="56">
        <f t="shared" si="27"/>
        <v>2614.6569999999997</v>
      </c>
      <c r="M274" s="56">
        <f t="shared" si="27"/>
        <v>2628.6950799999995</v>
      </c>
      <c r="N274" s="56">
        <f t="shared" si="27"/>
        <v>2654.9820308</v>
      </c>
      <c r="O274" s="56">
        <f t="shared" si="27"/>
        <v>2674.2456221654998</v>
      </c>
      <c r="P274" s="56">
        <f t="shared" si="27"/>
        <v>2700.988078387155</v>
      </c>
      <c r="Q274" s="56">
        <f t="shared" si="27"/>
        <v>2720.5364132829413</v>
      </c>
      <c r="R274" s="56">
        <f t="shared" si="27"/>
        <v>2747.7417774157707</v>
      </c>
    </row>
    <row r="275" spans="1:18" ht="16.5" customHeight="1">
      <c r="A275" s="13"/>
      <c r="B275" s="1" t="s">
        <v>35</v>
      </c>
      <c r="C275" s="3" t="s">
        <v>2</v>
      </c>
      <c r="D275" s="56">
        <f>SUM(D276+D287)</f>
        <v>1114.7</v>
      </c>
      <c r="E275" s="56">
        <f aca="true" t="shared" si="28" ref="E275:R275">SUM(E276+E287)</f>
        <v>1113.2</v>
      </c>
      <c r="F275" s="56">
        <f t="shared" si="28"/>
        <v>1035.6</v>
      </c>
      <c r="G275" s="56">
        <f t="shared" si="28"/>
        <v>1010.1999999999999</v>
      </c>
      <c r="H275" s="56">
        <f t="shared" si="28"/>
        <v>1020.313</v>
      </c>
      <c r="I275" s="56">
        <f t="shared" si="28"/>
        <v>1018.8000000000001</v>
      </c>
      <c r="J275" s="56">
        <f t="shared" si="28"/>
        <v>1029.001</v>
      </c>
      <c r="K275" s="56">
        <f t="shared" si="28"/>
        <v>1036.5</v>
      </c>
      <c r="L275" s="56">
        <f t="shared" si="28"/>
        <v>1046.8339999999998</v>
      </c>
      <c r="M275" s="56">
        <f t="shared" si="28"/>
        <v>1045.1938499999999</v>
      </c>
      <c r="N275" s="56">
        <f t="shared" si="28"/>
        <v>1055.6457884999998</v>
      </c>
      <c r="O275" s="56">
        <f t="shared" si="28"/>
        <v>1058.9160174424999</v>
      </c>
      <c r="P275" s="56">
        <f t="shared" si="28"/>
        <v>1069.5051776169248</v>
      </c>
      <c r="Q275" s="56">
        <f t="shared" si="28"/>
        <v>1072.7386835050092</v>
      </c>
      <c r="R275" s="56">
        <f t="shared" si="28"/>
        <v>1083.4660703400593</v>
      </c>
    </row>
    <row r="276" spans="1:18" ht="19.5" customHeight="1">
      <c r="A276" s="13"/>
      <c r="B276" s="1" t="s">
        <v>179</v>
      </c>
      <c r="C276" s="3" t="s">
        <v>2</v>
      </c>
      <c r="D276" s="56">
        <f>SUM(D277:D286)</f>
        <v>975.4000000000001</v>
      </c>
      <c r="E276" s="56">
        <f aca="true" t="shared" si="29" ref="E276:R276">SUM(E277:E286)</f>
        <v>965.8</v>
      </c>
      <c r="F276" s="56">
        <v>932.9</v>
      </c>
      <c r="G276" s="56">
        <f t="shared" si="29"/>
        <v>931.4</v>
      </c>
      <c r="H276" s="56">
        <f t="shared" si="29"/>
        <v>940.725</v>
      </c>
      <c r="I276" s="56">
        <f t="shared" si="29"/>
        <v>938.6</v>
      </c>
      <c r="J276" s="56">
        <f t="shared" si="29"/>
        <v>947.9989999999999</v>
      </c>
      <c r="K276" s="56">
        <f t="shared" si="29"/>
        <v>955.0000000000001</v>
      </c>
      <c r="L276" s="56">
        <f t="shared" si="29"/>
        <v>964.5189999999999</v>
      </c>
      <c r="M276" s="56">
        <f t="shared" si="29"/>
        <v>962.0938499999999</v>
      </c>
      <c r="N276" s="56">
        <f t="shared" si="29"/>
        <v>971.7147884999998</v>
      </c>
      <c r="O276" s="56">
        <f t="shared" si="29"/>
        <v>975.7160174424998</v>
      </c>
      <c r="P276" s="56">
        <f t="shared" si="29"/>
        <v>985.4731776169249</v>
      </c>
      <c r="Q276" s="56">
        <f t="shared" si="29"/>
        <v>989.4386835050093</v>
      </c>
      <c r="R276" s="56">
        <f t="shared" si="29"/>
        <v>999.3330703400594</v>
      </c>
    </row>
    <row r="277" spans="1:18" ht="15">
      <c r="A277" s="13"/>
      <c r="B277" s="2" t="s">
        <v>116</v>
      </c>
      <c r="C277" s="3" t="s">
        <v>2</v>
      </c>
      <c r="D277" s="55">
        <v>790.6</v>
      </c>
      <c r="E277" s="55">
        <v>782.3</v>
      </c>
      <c r="F277" s="55">
        <v>765.9</v>
      </c>
      <c r="G277" s="55">
        <v>758.4</v>
      </c>
      <c r="H277" s="55">
        <f>G277*1.01</f>
        <v>765.984</v>
      </c>
      <c r="I277" s="55">
        <v>762.4</v>
      </c>
      <c r="J277" s="55">
        <f>I277*1.01</f>
        <v>770.024</v>
      </c>
      <c r="K277" s="55">
        <v>777</v>
      </c>
      <c r="L277" s="55">
        <f>K277*1.01</f>
        <v>784.77</v>
      </c>
      <c r="M277" s="55">
        <f>L277*1.005</f>
        <v>788.6938499999999</v>
      </c>
      <c r="N277" s="55">
        <f>M277*1.01</f>
        <v>796.5807884999999</v>
      </c>
      <c r="O277" s="55">
        <f>N277*1.005</f>
        <v>800.5636924424998</v>
      </c>
      <c r="P277" s="55">
        <f>O277*1.01</f>
        <v>808.5693293669249</v>
      </c>
      <c r="Q277" s="55">
        <f>P277*1.005</f>
        <v>812.6121760137594</v>
      </c>
      <c r="R277" s="55">
        <f>Q277*1.01</f>
        <v>820.738297773897</v>
      </c>
    </row>
    <row r="278" spans="1:18" ht="15">
      <c r="A278" s="13"/>
      <c r="B278" s="2" t="s">
        <v>182</v>
      </c>
      <c r="C278" s="3" t="s">
        <v>2</v>
      </c>
      <c r="D278" s="55"/>
      <c r="E278" s="55"/>
      <c r="F278" s="55"/>
      <c r="G278" s="55"/>
      <c r="H278" s="55"/>
      <c r="I278" s="55"/>
      <c r="J278" s="55"/>
      <c r="K278" s="55"/>
      <c r="L278" s="55"/>
      <c r="M278" s="48"/>
      <c r="N278" s="55"/>
      <c r="O278" s="48"/>
      <c r="P278" s="55"/>
      <c r="Q278" s="48"/>
      <c r="R278" s="55"/>
    </row>
    <row r="279" spans="1:18" ht="15">
      <c r="A279" s="13"/>
      <c r="B279" s="2" t="s">
        <v>117</v>
      </c>
      <c r="C279" s="3" t="s">
        <v>2</v>
      </c>
      <c r="D279" s="55">
        <v>21.7</v>
      </c>
      <c r="E279" s="55">
        <v>18</v>
      </c>
      <c r="F279" s="55">
        <v>20.2</v>
      </c>
      <c r="G279" s="55">
        <v>22.5</v>
      </c>
      <c r="H279" s="55">
        <f>G279*1.01</f>
        <v>22.725</v>
      </c>
      <c r="I279" s="55">
        <v>23.1</v>
      </c>
      <c r="J279" s="55">
        <v>23.3</v>
      </c>
      <c r="K279" s="55">
        <v>23.1</v>
      </c>
      <c r="L279" s="55">
        <v>23.3</v>
      </c>
      <c r="M279" s="48">
        <v>18.9</v>
      </c>
      <c r="N279" s="55">
        <f>M279*1.01</f>
        <v>19.089</v>
      </c>
      <c r="O279" s="48">
        <v>19</v>
      </c>
      <c r="P279" s="55">
        <f>O279*1.01</f>
        <v>19.19</v>
      </c>
      <c r="Q279" s="48">
        <v>19</v>
      </c>
      <c r="R279" s="55">
        <f>Q279*1.01</f>
        <v>19.19</v>
      </c>
    </row>
    <row r="280" spans="1:18" ht="30">
      <c r="A280" s="13"/>
      <c r="B280" s="2" t="s">
        <v>180</v>
      </c>
      <c r="C280" s="3" t="s">
        <v>2</v>
      </c>
      <c r="D280" s="55">
        <v>99</v>
      </c>
      <c r="E280" s="55">
        <v>99.2</v>
      </c>
      <c r="F280" s="55">
        <v>90.4</v>
      </c>
      <c r="G280" s="55">
        <v>93.5</v>
      </c>
      <c r="H280" s="55">
        <v>94.4</v>
      </c>
      <c r="I280" s="55">
        <v>95.6</v>
      </c>
      <c r="J280" s="55">
        <v>96.6</v>
      </c>
      <c r="K280" s="55">
        <v>96.7</v>
      </c>
      <c r="L280" s="55">
        <f>K280*1.01</f>
        <v>97.667</v>
      </c>
      <c r="M280" s="7">
        <v>96.5</v>
      </c>
      <c r="N280" s="55">
        <f>M280*1.01</f>
        <v>97.465</v>
      </c>
      <c r="O280" s="55">
        <f>N280*1.005</f>
        <v>97.95232499999999</v>
      </c>
      <c r="P280" s="55">
        <f>O280*1.01</f>
        <v>98.93184824999999</v>
      </c>
      <c r="Q280" s="55">
        <f>P280*1.005</f>
        <v>99.42650749124998</v>
      </c>
      <c r="R280" s="55">
        <f>Q280*1.01</f>
        <v>100.42077256616248</v>
      </c>
    </row>
    <row r="281" spans="1:18" ht="45">
      <c r="A281" s="13"/>
      <c r="B281" s="2" t="s">
        <v>183</v>
      </c>
      <c r="C281" s="3" t="s">
        <v>2</v>
      </c>
      <c r="D281" s="55"/>
      <c r="E281" s="55"/>
      <c r="F281" s="55"/>
      <c r="G281" s="55"/>
      <c r="H281" s="55"/>
      <c r="I281" s="55"/>
      <c r="J281" s="55"/>
      <c r="K281" s="55"/>
      <c r="L281" s="55"/>
      <c r="M281" s="48"/>
      <c r="N281" s="55"/>
      <c r="O281" s="48"/>
      <c r="P281" s="55"/>
      <c r="Q281" s="48"/>
      <c r="R281" s="55"/>
    </row>
    <row r="282" spans="1:18" ht="15">
      <c r="A282" s="13"/>
      <c r="B282" s="2" t="s">
        <v>118</v>
      </c>
      <c r="C282" s="3" t="s">
        <v>2</v>
      </c>
      <c r="D282" s="55">
        <v>10.9</v>
      </c>
      <c r="E282" s="55">
        <v>15</v>
      </c>
      <c r="F282" s="55">
        <v>15.2</v>
      </c>
      <c r="G282" s="55">
        <v>15.4</v>
      </c>
      <c r="H282" s="55">
        <v>15.6</v>
      </c>
      <c r="I282" s="55">
        <v>15.5</v>
      </c>
      <c r="J282" s="55">
        <f>I282*1.01</f>
        <v>15.655</v>
      </c>
      <c r="K282" s="55">
        <v>15.7</v>
      </c>
      <c r="L282" s="55">
        <f>K282*1.01</f>
        <v>15.857</v>
      </c>
      <c r="M282" s="48">
        <v>12.1</v>
      </c>
      <c r="N282" s="55">
        <f>M282*1.01</f>
        <v>12.221</v>
      </c>
      <c r="O282" s="48">
        <v>12.2</v>
      </c>
      <c r="P282" s="55">
        <f>O282*1.01</f>
        <v>12.322</v>
      </c>
      <c r="Q282" s="48">
        <v>12.2</v>
      </c>
      <c r="R282" s="55">
        <f>Q282*1.01</f>
        <v>12.322</v>
      </c>
    </row>
    <row r="283" spans="1:18" ht="15">
      <c r="A283" s="13"/>
      <c r="B283" s="2" t="s">
        <v>119</v>
      </c>
      <c r="C283" s="3" t="s">
        <v>2</v>
      </c>
      <c r="D283" s="55"/>
      <c r="E283" s="55"/>
      <c r="F283" s="55"/>
      <c r="G283" s="55"/>
      <c r="H283" s="55"/>
      <c r="I283" s="55"/>
      <c r="J283" s="55"/>
      <c r="K283" s="55"/>
      <c r="L283" s="55"/>
      <c r="M283" s="48"/>
      <c r="N283" s="48"/>
      <c r="O283" s="48"/>
      <c r="P283" s="48"/>
      <c r="Q283" s="48"/>
      <c r="R283" s="48"/>
    </row>
    <row r="284" spans="1:18" ht="15">
      <c r="A284" s="13"/>
      <c r="B284" s="2" t="s">
        <v>120</v>
      </c>
      <c r="C284" s="3" t="s">
        <v>2</v>
      </c>
      <c r="D284" s="55"/>
      <c r="E284" s="55"/>
      <c r="F284" s="55"/>
      <c r="G284" s="55"/>
      <c r="H284" s="55"/>
      <c r="I284" s="55"/>
      <c r="J284" s="55"/>
      <c r="K284" s="55"/>
      <c r="L284" s="55"/>
      <c r="M284" s="48"/>
      <c r="N284" s="48"/>
      <c r="O284" s="48"/>
      <c r="P284" s="48"/>
      <c r="Q284" s="48"/>
      <c r="R284" s="48"/>
    </row>
    <row r="285" spans="1:18" ht="15">
      <c r="A285" s="13"/>
      <c r="B285" s="2" t="s">
        <v>121</v>
      </c>
      <c r="C285" s="3" t="s">
        <v>2</v>
      </c>
      <c r="D285" s="55">
        <v>47.5</v>
      </c>
      <c r="E285" s="55">
        <v>44.5</v>
      </c>
      <c r="F285" s="55">
        <v>35.2</v>
      </c>
      <c r="G285" s="55">
        <v>35.6</v>
      </c>
      <c r="H285" s="55">
        <f aca="true" t="shared" si="30" ref="H285:H291">G285*1.01</f>
        <v>35.956</v>
      </c>
      <c r="I285" s="55">
        <v>36</v>
      </c>
      <c r="J285" s="55">
        <f aca="true" t="shared" si="31" ref="J285:J291">I285*1.01</f>
        <v>36.36</v>
      </c>
      <c r="K285" s="55">
        <v>36.5</v>
      </c>
      <c r="L285" s="55">
        <f aca="true" t="shared" si="32" ref="L285:R286">K285*1.01</f>
        <v>36.865</v>
      </c>
      <c r="M285" s="48">
        <v>40.1</v>
      </c>
      <c r="N285" s="55">
        <f t="shared" si="32"/>
        <v>40.501000000000005</v>
      </c>
      <c r="O285" s="48">
        <v>40.2</v>
      </c>
      <c r="P285" s="55">
        <f t="shared" si="32"/>
        <v>40.602000000000004</v>
      </c>
      <c r="Q285" s="48">
        <v>40.3</v>
      </c>
      <c r="R285" s="55">
        <f t="shared" si="32"/>
        <v>40.702999999999996</v>
      </c>
    </row>
    <row r="286" spans="1:18" ht="15">
      <c r="A286" s="13"/>
      <c r="B286" s="2" t="s">
        <v>181</v>
      </c>
      <c r="C286" s="3" t="s">
        <v>2</v>
      </c>
      <c r="D286" s="55">
        <v>5.7</v>
      </c>
      <c r="E286" s="55">
        <v>6.8</v>
      </c>
      <c r="F286" s="55">
        <v>6</v>
      </c>
      <c r="G286" s="55">
        <v>6</v>
      </c>
      <c r="H286" s="55">
        <f t="shared" si="30"/>
        <v>6.0600000000000005</v>
      </c>
      <c r="I286" s="55">
        <v>6</v>
      </c>
      <c r="J286" s="55">
        <f t="shared" si="31"/>
        <v>6.0600000000000005</v>
      </c>
      <c r="K286" s="55">
        <v>6</v>
      </c>
      <c r="L286" s="55">
        <f t="shared" si="32"/>
        <v>6.0600000000000005</v>
      </c>
      <c r="M286" s="48">
        <v>5.8</v>
      </c>
      <c r="N286" s="55">
        <f t="shared" si="32"/>
        <v>5.858</v>
      </c>
      <c r="O286" s="48">
        <v>5.8</v>
      </c>
      <c r="P286" s="55">
        <f t="shared" si="32"/>
        <v>5.858</v>
      </c>
      <c r="Q286" s="48">
        <v>5.9</v>
      </c>
      <c r="R286" s="55">
        <f t="shared" si="32"/>
        <v>5.9590000000000005</v>
      </c>
    </row>
    <row r="287" spans="1:18" ht="15">
      <c r="A287" s="13"/>
      <c r="B287" s="1" t="s">
        <v>184</v>
      </c>
      <c r="C287" s="3" t="s">
        <v>2</v>
      </c>
      <c r="D287" s="55">
        <v>139.3</v>
      </c>
      <c r="E287" s="55">
        <v>147.4</v>
      </c>
      <c r="F287" s="55">
        <v>102.7</v>
      </c>
      <c r="G287" s="55">
        <v>78.8</v>
      </c>
      <c r="H287" s="55">
        <f t="shared" si="30"/>
        <v>79.588</v>
      </c>
      <c r="I287" s="55">
        <v>80.2</v>
      </c>
      <c r="J287" s="55">
        <f t="shared" si="31"/>
        <v>81.00200000000001</v>
      </c>
      <c r="K287" s="55">
        <v>81.5</v>
      </c>
      <c r="L287" s="55">
        <f>K287*1.01</f>
        <v>82.315</v>
      </c>
      <c r="M287" s="48">
        <v>83.1</v>
      </c>
      <c r="N287" s="55">
        <f>M287*1.01</f>
        <v>83.931</v>
      </c>
      <c r="O287" s="48">
        <v>83.2</v>
      </c>
      <c r="P287" s="55">
        <f>O287*1.01</f>
        <v>84.03200000000001</v>
      </c>
      <c r="Q287" s="48">
        <v>83.3</v>
      </c>
      <c r="R287" s="55">
        <f>Q287*1.01</f>
        <v>84.133</v>
      </c>
    </row>
    <row r="288" spans="1:19" ht="30">
      <c r="A288" s="13"/>
      <c r="B288" s="1" t="s">
        <v>36</v>
      </c>
      <c r="C288" s="3" t="s">
        <v>2</v>
      </c>
      <c r="D288" s="55">
        <v>2578.2</v>
      </c>
      <c r="E288" s="55">
        <v>2612</v>
      </c>
      <c r="F288" s="55">
        <v>2094.5</v>
      </c>
      <c r="G288" s="55">
        <v>1630.6</v>
      </c>
      <c r="H288" s="55">
        <f t="shared" si="30"/>
        <v>1646.906</v>
      </c>
      <c r="I288" s="55">
        <v>1537.2</v>
      </c>
      <c r="J288" s="55">
        <f t="shared" si="31"/>
        <v>1552.5720000000001</v>
      </c>
      <c r="K288" s="55">
        <v>1552.3</v>
      </c>
      <c r="L288" s="55">
        <f>K288*1.01</f>
        <v>1567.8229999999999</v>
      </c>
      <c r="M288" s="55">
        <f aca="true" t="shared" si="33" ref="L288:R291">L288*1.01</f>
        <v>1583.5012299999999</v>
      </c>
      <c r="N288" s="55">
        <f t="shared" si="33"/>
        <v>1599.3362422999999</v>
      </c>
      <c r="O288" s="55">
        <f t="shared" si="33"/>
        <v>1615.3296047229999</v>
      </c>
      <c r="P288" s="55">
        <f t="shared" si="33"/>
        <v>1631.48290077023</v>
      </c>
      <c r="Q288" s="55">
        <f t="shared" si="33"/>
        <v>1647.797729777932</v>
      </c>
      <c r="R288" s="55">
        <f t="shared" si="33"/>
        <v>1664.2757070757114</v>
      </c>
      <c r="S288" s="67"/>
    </row>
    <row r="289" spans="1:18" ht="15">
      <c r="A289" s="13"/>
      <c r="B289" s="2" t="s">
        <v>185</v>
      </c>
      <c r="C289" s="3" t="s">
        <v>2</v>
      </c>
      <c r="D289" s="55">
        <v>979.3</v>
      </c>
      <c r="E289" s="55">
        <v>951</v>
      </c>
      <c r="F289" s="55">
        <v>328.5</v>
      </c>
      <c r="G289" s="55">
        <v>285.3</v>
      </c>
      <c r="H289" s="55">
        <f t="shared" si="30"/>
        <v>288.153</v>
      </c>
      <c r="I289" s="55">
        <v>191.3</v>
      </c>
      <c r="J289" s="55">
        <f t="shared" si="31"/>
        <v>193.21300000000002</v>
      </c>
      <c r="K289" s="55">
        <v>194</v>
      </c>
      <c r="L289" s="55">
        <f t="shared" si="33"/>
        <v>195.94</v>
      </c>
      <c r="M289" s="55">
        <f t="shared" si="33"/>
        <v>197.89939999999999</v>
      </c>
      <c r="N289" s="55">
        <f t="shared" si="33"/>
        <v>199.878394</v>
      </c>
      <c r="O289" s="55">
        <f t="shared" si="33"/>
        <v>201.87717794</v>
      </c>
      <c r="P289" s="55">
        <f t="shared" si="33"/>
        <v>203.8959497194</v>
      </c>
      <c r="Q289" s="55">
        <f t="shared" si="33"/>
        <v>205.934909216594</v>
      </c>
      <c r="R289" s="55">
        <f t="shared" si="33"/>
        <v>207.99425830875995</v>
      </c>
    </row>
    <row r="290" spans="1:18" ht="15">
      <c r="A290" s="13"/>
      <c r="B290" s="2" t="s">
        <v>186</v>
      </c>
      <c r="C290" s="3" t="s">
        <v>2</v>
      </c>
      <c r="D290" s="55">
        <v>1230.5</v>
      </c>
      <c r="E290" s="55">
        <v>1306.5</v>
      </c>
      <c r="F290" s="55">
        <v>1356.2</v>
      </c>
      <c r="G290" s="55">
        <v>1258</v>
      </c>
      <c r="H290" s="55">
        <f t="shared" si="30"/>
        <v>1270.58</v>
      </c>
      <c r="I290" s="55">
        <v>1258.3</v>
      </c>
      <c r="J290" s="55">
        <f t="shared" si="31"/>
        <v>1270.883</v>
      </c>
      <c r="K290" s="55">
        <v>1283.6</v>
      </c>
      <c r="L290" s="55">
        <f t="shared" si="33"/>
        <v>1296.436</v>
      </c>
      <c r="M290" s="55">
        <f t="shared" si="33"/>
        <v>1309.4003599999999</v>
      </c>
      <c r="N290" s="55">
        <f t="shared" si="33"/>
        <v>1322.4943635999998</v>
      </c>
      <c r="O290" s="55">
        <f t="shared" si="33"/>
        <v>1335.7193072359998</v>
      </c>
      <c r="P290" s="55">
        <f t="shared" si="33"/>
        <v>1349.0765003083598</v>
      </c>
      <c r="Q290" s="55">
        <f t="shared" si="33"/>
        <v>1362.5672653114434</v>
      </c>
      <c r="R290" s="55">
        <f t="shared" si="33"/>
        <v>1376.1929379645578</v>
      </c>
    </row>
    <row r="291" spans="1:18" ht="15">
      <c r="A291" s="13"/>
      <c r="B291" s="2" t="s">
        <v>187</v>
      </c>
      <c r="C291" s="3" t="s">
        <v>2</v>
      </c>
      <c r="D291" s="55">
        <v>269.6</v>
      </c>
      <c r="E291" s="55">
        <v>216</v>
      </c>
      <c r="F291" s="55">
        <v>166.1</v>
      </c>
      <c r="G291" s="55">
        <v>82.8</v>
      </c>
      <c r="H291" s="55">
        <f t="shared" si="30"/>
        <v>83.628</v>
      </c>
      <c r="I291" s="55">
        <v>82.8</v>
      </c>
      <c r="J291" s="55">
        <f t="shared" si="31"/>
        <v>83.628</v>
      </c>
      <c r="K291" s="55">
        <v>84</v>
      </c>
      <c r="L291" s="55">
        <f t="shared" si="33"/>
        <v>84.84</v>
      </c>
      <c r="M291" s="55">
        <f t="shared" si="33"/>
        <v>85.6884</v>
      </c>
      <c r="N291" s="55">
        <f t="shared" si="33"/>
        <v>86.545284</v>
      </c>
      <c r="O291" s="55">
        <f t="shared" si="33"/>
        <v>87.41073684</v>
      </c>
      <c r="P291" s="55">
        <f t="shared" si="33"/>
        <v>88.2848442084</v>
      </c>
      <c r="Q291" s="55">
        <f t="shared" si="33"/>
        <v>89.167692650484</v>
      </c>
      <c r="R291" s="55">
        <f t="shared" si="33"/>
        <v>90.05936957698884</v>
      </c>
    </row>
    <row r="292" spans="1:18" ht="45">
      <c r="A292" s="13"/>
      <c r="B292" s="1" t="s">
        <v>188</v>
      </c>
      <c r="C292" s="3" t="s">
        <v>2</v>
      </c>
      <c r="D292" s="64">
        <f>SUM(D293:D305)</f>
        <v>3639.2</v>
      </c>
      <c r="E292" s="64">
        <f aca="true" t="shared" si="34" ref="E292:R292">SUM(E293:E305)</f>
        <v>3755.9000000000005</v>
      </c>
      <c r="F292" s="112">
        <f t="shared" si="34"/>
        <v>3195.4999999999995</v>
      </c>
      <c r="G292" s="64">
        <f t="shared" si="34"/>
        <v>2726.2999999999997</v>
      </c>
      <c r="H292" s="64">
        <f t="shared" si="34"/>
        <v>2737.1</v>
      </c>
      <c r="I292" s="64">
        <f t="shared" si="34"/>
        <v>2621.7000000000003</v>
      </c>
      <c r="J292" s="64">
        <f t="shared" si="34"/>
        <v>2632.1</v>
      </c>
      <c r="K292" s="64">
        <f t="shared" si="34"/>
        <v>2642.5999999999995</v>
      </c>
      <c r="L292" s="64">
        <f t="shared" si="34"/>
        <v>2655.8</v>
      </c>
      <c r="M292" s="64">
        <f t="shared" si="34"/>
        <v>2696.254</v>
      </c>
      <c r="N292" s="64">
        <f t="shared" si="34"/>
        <v>2700.3212</v>
      </c>
      <c r="O292" s="64">
        <f t="shared" si="34"/>
        <v>2740.8793264000005</v>
      </c>
      <c r="P292" s="64">
        <f t="shared" si="34"/>
        <v>2754.4997467999997</v>
      </c>
      <c r="Q292" s="64">
        <f t="shared" si="34"/>
        <v>2788.9474366512</v>
      </c>
      <c r="R292" s="64">
        <f t="shared" si="34"/>
        <v>2811.7251360727996</v>
      </c>
    </row>
    <row r="293" spans="1:18" ht="15">
      <c r="A293" s="13"/>
      <c r="B293" s="2" t="s">
        <v>37</v>
      </c>
      <c r="C293" s="3" t="s">
        <v>2</v>
      </c>
      <c r="D293" s="65">
        <v>289.1</v>
      </c>
      <c r="E293" s="61">
        <v>292.8</v>
      </c>
      <c r="F293" s="105">
        <v>292.9</v>
      </c>
      <c r="G293" s="61">
        <v>274.6</v>
      </c>
      <c r="H293" s="61">
        <v>275.7</v>
      </c>
      <c r="I293" s="61">
        <v>274.1</v>
      </c>
      <c r="J293" s="61">
        <v>275.2</v>
      </c>
      <c r="K293" s="61">
        <v>276.3</v>
      </c>
      <c r="L293" s="61">
        <v>277.7</v>
      </c>
      <c r="M293" s="108">
        <f>SUM(K293)*1.008</f>
        <v>278.5104</v>
      </c>
      <c r="N293" s="108">
        <f>SUM(L293)*1.009</f>
        <v>280.19929999999994</v>
      </c>
      <c r="O293" s="108">
        <f>SUM(M293)*1.008</f>
        <v>280.7384832</v>
      </c>
      <c r="P293" s="108">
        <f>SUM(N293)*1.009</f>
        <v>282.7210936999999</v>
      </c>
      <c r="Q293" s="108">
        <f>SUM(O293)*1.008</f>
        <v>282.9843910656</v>
      </c>
      <c r="R293" s="108">
        <f>SUM(P293)*1.009</f>
        <v>285.2655835432999</v>
      </c>
    </row>
    <row r="294" spans="1:18" ht="15">
      <c r="A294" s="13"/>
      <c r="B294" s="2" t="s">
        <v>38</v>
      </c>
      <c r="C294" s="3" t="s">
        <v>2</v>
      </c>
      <c r="D294" s="66">
        <v>6.3</v>
      </c>
      <c r="E294" s="62">
        <v>6.9</v>
      </c>
      <c r="F294" s="109">
        <v>7.2</v>
      </c>
      <c r="G294" s="62">
        <v>3.5</v>
      </c>
      <c r="H294" s="62">
        <v>3.5</v>
      </c>
      <c r="I294" s="62">
        <v>3.6</v>
      </c>
      <c r="J294" s="62">
        <v>3.6</v>
      </c>
      <c r="K294" s="62">
        <v>3.6</v>
      </c>
      <c r="L294" s="62">
        <v>3.6</v>
      </c>
      <c r="M294" s="52">
        <v>3.7</v>
      </c>
      <c r="N294" s="52">
        <v>3.7</v>
      </c>
      <c r="O294" s="52">
        <v>3.8</v>
      </c>
      <c r="P294" s="52">
        <v>3.8</v>
      </c>
      <c r="Q294" s="52">
        <v>3.9</v>
      </c>
      <c r="R294" s="52">
        <v>3.9</v>
      </c>
    </row>
    <row r="295" spans="1:18" ht="30">
      <c r="A295" s="13"/>
      <c r="B295" s="2" t="s">
        <v>39</v>
      </c>
      <c r="C295" s="3" t="s">
        <v>2</v>
      </c>
      <c r="D295" s="66">
        <v>6.4</v>
      </c>
      <c r="E295" s="62">
        <v>6.9</v>
      </c>
      <c r="F295" s="109">
        <v>8.6</v>
      </c>
      <c r="G295" s="62">
        <v>8.4</v>
      </c>
      <c r="H295" s="62">
        <v>8.4</v>
      </c>
      <c r="I295" s="62">
        <v>8.3</v>
      </c>
      <c r="J295" s="62">
        <v>8.3</v>
      </c>
      <c r="K295" s="62">
        <v>8.4</v>
      </c>
      <c r="L295" s="62">
        <v>8.4</v>
      </c>
      <c r="M295" s="104">
        <f aca="true" t="shared" si="35" ref="M295:M305">SUM(K295)*1.008</f>
        <v>8.4672</v>
      </c>
      <c r="N295" s="109">
        <v>8.4</v>
      </c>
      <c r="O295" s="50">
        <v>8.6</v>
      </c>
      <c r="P295" s="50">
        <v>8.6</v>
      </c>
      <c r="Q295" s="50">
        <v>8.7</v>
      </c>
      <c r="R295" s="50">
        <v>8.7</v>
      </c>
    </row>
    <row r="296" spans="1:18" ht="15">
      <c r="A296" s="13"/>
      <c r="B296" s="2" t="s">
        <v>40</v>
      </c>
      <c r="C296" s="3" t="s">
        <v>2</v>
      </c>
      <c r="D296" s="66">
        <v>598.4</v>
      </c>
      <c r="E296" s="62">
        <v>628.6</v>
      </c>
      <c r="F296" s="109">
        <v>380.5</v>
      </c>
      <c r="G296" s="62">
        <v>285.7</v>
      </c>
      <c r="H296" s="62">
        <v>286.8</v>
      </c>
      <c r="I296" s="62">
        <v>286.8</v>
      </c>
      <c r="J296" s="62">
        <v>287.9</v>
      </c>
      <c r="K296" s="62">
        <v>289.1</v>
      </c>
      <c r="L296" s="62">
        <v>290.5</v>
      </c>
      <c r="M296" s="108">
        <f t="shared" si="35"/>
        <v>291.4128</v>
      </c>
      <c r="N296" s="108">
        <f>SUM(L296)*1.009</f>
        <v>293.11449999999996</v>
      </c>
      <c r="O296" s="108">
        <f>SUM(M296)*1.008</f>
        <v>293.74410240000003</v>
      </c>
      <c r="P296" s="108">
        <f>SUM(N296)*1.009</f>
        <v>295.7525304999999</v>
      </c>
      <c r="Q296" s="108">
        <f>SUM(O296)*1.008</f>
        <v>296.0940552192</v>
      </c>
      <c r="R296" s="108">
        <f>SUM(P296)*1.009</f>
        <v>298.4143032744999</v>
      </c>
    </row>
    <row r="297" spans="1:18" ht="15">
      <c r="A297" s="13"/>
      <c r="B297" s="2" t="s">
        <v>41</v>
      </c>
      <c r="C297" s="3" t="s">
        <v>2</v>
      </c>
      <c r="D297" s="66">
        <v>808.8</v>
      </c>
      <c r="E297" s="62">
        <v>894.2</v>
      </c>
      <c r="F297" s="109">
        <v>458.3</v>
      </c>
      <c r="G297" s="62">
        <v>311.6</v>
      </c>
      <c r="H297" s="62">
        <v>312.8</v>
      </c>
      <c r="I297" s="62">
        <v>204.1</v>
      </c>
      <c r="J297" s="62">
        <v>204.9</v>
      </c>
      <c r="K297" s="62">
        <v>205.7</v>
      </c>
      <c r="L297" s="62">
        <v>206.8</v>
      </c>
      <c r="M297" s="108">
        <f t="shared" si="35"/>
        <v>207.3456</v>
      </c>
      <c r="N297" s="108">
        <f aca="true" t="shared" si="36" ref="N297:N305">SUM(L297)*1.009</f>
        <v>208.66119999999998</v>
      </c>
      <c r="O297" s="108">
        <f aca="true" t="shared" si="37" ref="O297:O305">SUM(M297)*1.008</f>
        <v>209.0043648</v>
      </c>
      <c r="P297" s="108">
        <f aca="true" t="shared" si="38" ref="P297:P305">SUM(N297)*1.009</f>
        <v>210.53915079999996</v>
      </c>
      <c r="Q297" s="108">
        <f aca="true" t="shared" si="39" ref="Q297:Q305">SUM(O297)*1.008</f>
        <v>210.6763997184</v>
      </c>
      <c r="R297" s="108">
        <f aca="true" t="shared" si="40" ref="R297:R305">SUM(P297)*1.009</f>
        <v>212.43400315719992</v>
      </c>
    </row>
    <row r="298" spans="1:18" ht="15">
      <c r="A298" s="13"/>
      <c r="B298" s="2" t="s">
        <v>42</v>
      </c>
      <c r="C298" s="3" t="s">
        <v>2</v>
      </c>
      <c r="D298" s="66">
        <v>0.6</v>
      </c>
      <c r="E298" s="62">
        <v>1.3</v>
      </c>
      <c r="F298" s="109">
        <v>0.3</v>
      </c>
      <c r="G298" s="62">
        <v>0.3</v>
      </c>
      <c r="H298" s="62">
        <v>0.3</v>
      </c>
      <c r="I298" s="62">
        <v>0.3</v>
      </c>
      <c r="J298" s="62">
        <v>0.3</v>
      </c>
      <c r="K298" s="62">
        <v>0.3</v>
      </c>
      <c r="L298" s="62">
        <v>0.3</v>
      </c>
      <c r="M298" s="108">
        <f t="shared" si="35"/>
        <v>0.3024</v>
      </c>
      <c r="N298" s="108">
        <f t="shared" si="36"/>
        <v>0.30269999999999997</v>
      </c>
      <c r="O298" s="108">
        <f t="shared" si="37"/>
        <v>0.3048192</v>
      </c>
      <c r="P298" s="108">
        <f t="shared" si="38"/>
        <v>0.3054242999999999</v>
      </c>
      <c r="Q298" s="108">
        <f t="shared" si="39"/>
        <v>0.3072577536</v>
      </c>
      <c r="R298" s="108">
        <f t="shared" si="40"/>
        <v>0.3081731186999999</v>
      </c>
    </row>
    <row r="299" spans="1:18" ht="15">
      <c r="A299" s="13"/>
      <c r="B299" s="2" t="s">
        <v>43</v>
      </c>
      <c r="C299" s="3" t="s">
        <v>2</v>
      </c>
      <c r="D299" s="66">
        <v>1401.9</v>
      </c>
      <c r="E299" s="62">
        <v>1448.6</v>
      </c>
      <c r="F299" s="109">
        <v>1568.1</v>
      </c>
      <c r="G299" s="62">
        <v>1460.4</v>
      </c>
      <c r="H299" s="62">
        <v>1466.2</v>
      </c>
      <c r="I299" s="62">
        <v>1460.6</v>
      </c>
      <c r="J299" s="62">
        <v>1466.4</v>
      </c>
      <c r="K299" s="62">
        <v>1472.3</v>
      </c>
      <c r="L299" s="62">
        <v>1479.6</v>
      </c>
      <c r="M299" s="108">
        <f>SUM(K299)*1.02</f>
        <v>1501.7459999999999</v>
      </c>
      <c r="N299" s="108">
        <f>SUM(L299)*1.02</f>
        <v>1509.192</v>
      </c>
      <c r="O299" s="108">
        <f>SUM(M299)*1.02</f>
        <v>1531.78092</v>
      </c>
      <c r="P299" s="108">
        <f>SUM(N299)*1.025</f>
        <v>1546.9217999999998</v>
      </c>
      <c r="Q299" s="108">
        <f>SUM(O299)*1.025</f>
        <v>1570.0754429999997</v>
      </c>
      <c r="R299" s="108">
        <f>SUM(P299)*1.03</f>
        <v>1593.329454</v>
      </c>
    </row>
    <row r="300" spans="1:18" ht="15">
      <c r="A300" s="13"/>
      <c r="B300" s="2" t="s">
        <v>44</v>
      </c>
      <c r="C300" s="3" t="s">
        <v>2</v>
      </c>
      <c r="D300" s="66">
        <v>127.2</v>
      </c>
      <c r="E300" s="62">
        <v>143.6</v>
      </c>
      <c r="F300" s="109">
        <v>151.6</v>
      </c>
      <c r="G300" s="62">
        <v>142.1</v>
      </c>
      <c r="H300" s="62">
        <v>142.7</v>
      </c>
      <c r="I300" s="62">
        <v>141.1</v>
      </c>
      <c r="J300" s="62">
        <v>141.7</v>
      </c>
      <c r="K300" s="62">
        <v>142.2</v>
      </c>
      <c r="L300" s="62">
        <v>142.9</v>
      </c>
      <c r="M300" s="108">
        <f>SUM(K300)*1.08</f>
        <v>153.576</v>
      </c>
      <c r="N300" s="108">
        <f>SUM(L300)*1.008</f>
        <v>144.0432</v>
      </c>
      <c r="O300" s="108">
        <f>SUM(M300)*1.008</f>
        <v>154.804608</v>
      </c>
      <c r="P300" s="108">
        <f>SUM(N300)*1.009</f>
        <v>145.3395888</v>
      </c>
      <c r="Q300" s="108">
        <f>SUM(O300)*1.008</f>
        <v>156.043044864</v>
      </c>
      <c r="R300" s="108">
        <f>SUM(P300)*1.009</f>
        <v>146.6476450992</v>
      </c>
    </row>
    <row r="301" spans="1:18" ht="15">
      <c r="A301" s="13"/>
      <c r="B301" s="2" t="s">
        <v>45</v>
      </c>
      <c r="C301" s="3" t="s">
        <v>2</v>
      </c>
      <c r="D301" s="66"/>
      <c r="E301" s="62">
        <v>1.4</v>
      </c>
      <c r="F301" s="109">
        <v>1.4</v>
      </c>
      <c r="G301" s="62">
        <v>1.4</v>
      </c>
      <c r="H301" s="62">
        <v>1.4</v>
      </c>
      <c r="I301" s="62">
        <v>1.4</v>
      </c>
      <c r="J301" s="62">
        <v>1.4</v>
      </c>
      <c r="K301" s="62">
        <v>1.4</v>
      </c>
      <c r="L301" s="62">
        <v>1.4</v>
      </c>
      <c r="M301" s="108">
        <f t="shared" si="35"/>
        <v>1.4112</v>
      </c>
      <c r="N301" s="108">
        <f t="shared" si="36"/>
        <v>1.4125999999999999</v>
      </c>
      <c r="O301" s="108">
        <f t="shared" si="37"/>
        <v>1.4224896</v>
      </c>
      <c r="P301" s="108">
        <f t="shared" si="38"/>
        <v>1.4253133999999996</v>
      </c>
      <c r="Q301" s="108">
        <f t="shared" si="39"/>
        <v>1.4338695168</v>
      </c>
      <c r="R301" s="108">
        <f t="shared" si="40"/>
        <v>1.4381412205999995</v>
      </c>
    </row>
    <row r="302" spans="1:18" ht="15">
      <c r="A302" s="13"/>
      <c r="B302" s="2" t="s">
        <v>46</v>
      </c>
      <c r="C302" s="3" t="s">
        <v>2</v>
      </c>
      <c r="D302" s="66">
        <v>101.5</v>
      </c>
      <c r="E302" s="62">
        <v>116.1</v>
      </c>
      <c r="F302" s="109">
        <v>128.6</v>
      </c>
      <c r="G302" s="62">
        <v>129.6</v>
      </c>
      <c r="H302" s="62">
        <v>130.1</v>
      </c>
      <c r="I302" s="62">
        <v>134.6</v>
      </c>
      <c r="J302" s="62">
        <v>135.1</v>
      </c>
      <c r="K302" s="62">
        <v>135.7</v>
      </c>
      <c r="L302" s="62">
        <v>136.4</v>
      </c>
      <c r="M302" s="108">
        <f t="shared" si="35"/>
        <v>136.7856</v>
      </c>
      <c r="N302" s="108">
        <f t="shared" si="36"/>
        <v>137.6276</v>
      </c>
      <c r="O302" s="108">
        <f t="shared" si="37"/>
        <v>137.87988479999999</v>
      </c>
      <c r="P302" s="108">
        <f t="shared" si="38"/>
        <v>138.8662484</v>
      </c>
      <c r="Q302" s="108">
        <f t="shared" si="39"/>
        <v>138.9829238784</v>
      </c>
      <c r="R302" s="108">
        <f>SUM(P302)*1.008</f>
        <v>139.97717838719998</v>
      </c>
    </row>
    <row r="303" spans="1:18" ht="15">
      <c r="A303" s="13"/>
      <c r="B303" s="2" t="s">
        <v>47</v>
      </c>
      <c r="C303" s="3" t="s">
        <v>2</v>
      </c>
      <c r="D303" s="66">
        <v>253.4</v>
      </c>
      <c r="E303" s="62">
        <v>170.9</v>
      </c>
      <c r="F303" s="109">
        <v>143.1</v>
      </c>
      <c r="G303" s="62">
        <v>62.5</v>
      </c>
      <c r="H303" s="62">
        <v>62.8</v>
      </c>
      <c r="I303" s="62">
        <v>62.5</v>
      </c>
      <c r="J303" s="62">
        <v>62.8</v>
      </c>
      <c r="K303" s="62">
        <v>63</v>
      </c>
      <c r="L303" s="62">
        <v>63.3</v>
      </c>
      <c r="M303" s="108">
        <f>SUM(K303)*1.08</f>
        <v>68.04</v>
      </c>
      <c r="N303" s="108">
        <f>SUM(L303)*1.08</f>
        <v>68.364</v>
      </c>
      <c r="O303" s="108">
        <f>SUM(M303)*1.08</f>
        <v>73.48320000000001</v>
      </c>
      <c r="P303" s="108">
        <f>SUM(N303)*1.09</f>
        <v>74.51676</v>
      </c>
      <c r="Q303" s="108">
        <f t="shared" si="39"/>
        <v>74.07106560000001</v>
      </c>
      <c r="R303" s="108">
        <f t="shared" si="40"/>
        <v>75.18741084</v>
      </c>
    </row>
    <row r="304" spans="1:18" ht="15">
      <c r="A304" s="13"/>
      <c r="B304" s="2" t="s">
        <v>48</v>
      </c>
      <c r="C304" s="3" t="s">
        <v>2</v>
      </c>
      <c r="D304" s="66">
        <v>21.6</v>
      </c>
      <c r="E304" s="62">
        <v>22.8</v>
      </c>
      <c r="F304" s="109">
        <v>19.4</v>
      </c>
      <c r="G304" s="62">
        <v>16.2</v>
      </c>
      <c r="H304" s="62">
        <v>16.3</v>
      </c>
      <c r="I304" s="62">
        <v>16.3</v>
      </c>
      <c r="J304" s="62">
        <v>16.4</v>
      </c>
      <c r="K304" s="62">
        <v>16.4</v>
      </c>
      <c r="L304" s="62">
        <v>16.5</v>
      </c>
      <c r="M304" s="108">
        <f t="shared" si="35"/>
        <v>16.5312</v>
      </c>
      <c r="N304" s="108">
        <f t="shared" si="36"/>
        <v>16.6485</v>
      </c>
      <c r="O304" s="108">
        <f t="shared" si="37"/>
        <v>16.6634496</v>
      </c>
      <c r="P304" s="108">
        <f t="shared" si="38"/>
        <v>16.798336499999998</v>
      </c>
      <c r="Q304" s="108">
        <f t="shared" si="39"/>
        <v>16.7967571968</v>
      </c>
      <c r="R304" s="108">
        <f t="shared" si="40"/>
        <v>16.949521528499996</v>
      </c>
    </row>
    <row r="305" spans="1:18" ht="30">
      <c r="A305" s="13"/>
      <c r="B305" s="2" t="s">
        <v>49</v>
      </c>
      <c r="C305" s="3" t="s">
        <v>2</v>
      </c>
      <c r="D305" s="66">
        <v>24</v>
      </c>
      <c r="E305" s="62">
        <v>21.8</v>
      </c>
      <c r="F305" s="109">
        <v>35.5</v>
      </c>
      <c r="G305" s="62">
        <v>30</v>
      </c>
      <c r="H305" s="62">
        <v>30.1</v>
      </c>
      <c r="I305" s="62">
        <v>28</v>
      </c>
      <c r="J305" s="62">
        <v>28.1</v>
      </c>
      <c r="K305" s="62">
        <v>28.2</v>
      </c>
      <c r="L305" s="62">
        <v>28.4</v>
      </c>
      <c r="M305" s="104">
        <f t="shared" si="35"/>
        <v>28.4256</v>
      </c>
      <c r="N305" s="104">
        <f t="shared" si="36"/>
        <v>28.655599999999996</v>
      </c>
      <c r="O305" s="104">
        <f t="shared" si="37"/>
        <v>28.653004799999998</v>
      </c>
      <c r="P305" s="104">
        <f t="shared" si="38"/>
        <v>28.913500399999993</v>
      </c>
      <c r="Q305" s="104">
        <f t="shared" si="39"/>
        <v>28.8822288384</v>
      </c>
      <c r="R305" s="104">
        <f t="shared" si="40"/>
        <v>29.17372190359999</v>
      </c>
    </row>
    <row r="306" spans="1:18" ht="15">
      <c r="A306" s="13"/>
      <c r="B306" s="1" t="s">
        <v>378</v>
      </c>
      <c r="C306" s="3" t="s">
        <v>2</v>
      </c>
      <c r="D306" s="66">
        <v>53.7</v>
      </c>
      <c r="E306" s="62">
        <v>-30.7</v>
      </c>
      <c r="F306" s="109">
        <v>-65.4</v>
      </c>
      <c r="G306" s="62">
        <f>SUM(G274)-G292</f>
        <v>-85.5</v>
      </c>
      <c r="H306" s="62">
        <f aca="true" t="shared" si="41" ref="H306:R306">SUM(H274)-H292</f>
        <v>-69.88099999999986</v>
      </c>
      <c r="I306" s="62">
        <f t="shared" si="41"/>
        <v>-65.70000000000027</v>
      </c>
      <c r="J306" s="62">
        <f t="shared" si="41"/>
        <v>-50.52699999999959</v>
      </c>
      <c r="K306" s="62">
        <f t="shared" si="41"/>
        <v>-53.79999999999927</v>
      </c>
      <c r="L306" s="62">
        <f t="shared" si="41"/>
        <v>-41.143000000000484</v>
      </c>
      <c r="M306" s="62">
        <f t="shared" si="41"/>
        <v>-67.5589200000004</v>
      </c>
      <c r="N306" s="62">
        <f t="shared" si="41"/>
        <v>-45.339169200000015</v>
      </c>
      <c r="O306" s="62">
        <f t="shared" si="41"/>
        <v>-66.63370423450078</v>
      </c>
      <c r="P306" s="62">
        <f t="shared" si="41"/>
        <v>-53.511668412844756</v>
      </c>
      <c r="Q306" s="62">
        <f t="shared" si="41"/>
        <v>-68.41102336825861</v>
      </c>
      <c r="R306" s="62">
        <f t="shared" si="41"/>
        <v>-63.98335865702893</v>
      </c>
    </row>
    <row r="307" spans="1:18" ht="15">
      <c r="A307" s="13"/>
      <c r="B307" s="113" t="s">
        <v>353</v>
      </c>
      <c r="C307" s="3" t="s">
        <v>2</v>
      </c>
      <c r="D307" s="48">
        <v>243</v>
      </c>
      <c r="E307" s="48">
        <v>270</v>
      </c>
      <c r="F307" s="48">
        <v>248.8</v>
      </c>
      <c r="G307" s="48">
        <v>228.8</v>
      </c>
      <c r="H307" s="48">
        <v>212</v>
      </c>
      <c r="I307" s="48">
        <v>203.8</v>
      </c>
      <c r="J307" s="48">
        <v>188.6</v>
      </c>
      <c r="K307" s="48">
        <v>194</v>
      </c>
      <c r="L307" s="48">
        <v>181.3</v>
      </c>
      <c r="M307" s="48">
        <v>185</v>
      </c>
      <c r="N307" s="48">
        <v>162.7</v>
      </c>
      <c r="O307" s="48">
        <v>170</v>
      </c>
      <c r="P307" s="48">
        <v>156.9</v>
      </c>
      <c r="Q307" s="48">
        <v>160</v>
      </c>
      <c r="R307" s="48">
        <v>155.6</v>
      </c>
    </row>
    <row r="308" spans="1:18" s="18" customFormat="1" ht="15">
      <c r="A308" s="35" t="s">
        <v>360</v>
      </c>
      <c r="B308" s="37" t="s">
        <v>358</v>
      </c>
      <c r="C308" s="38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1:18" ht="15">
      <c r="A309" s="13"/>
      <c r="B309" s="4" t="s">
        <v>17</v>
      </c>
      <c r="C309" s="3" t="s">
        <v>154</v>
      </c>
      <c r="D309" s="48">
        <v>25.46</v>
      </c>
      <c r="E309" s="48">
        <v>25.03</v>
      </c>
      <c r="F309" s="48">
        <v>25.37</v>
      </c>
      <c r="G309" s="48">
        <v>25.8</v>
      </c>
      <c r="H309" s="48">
        <v>26.06</v>
      </c>
      <c r="I309" s="48">
        <v>26.62</v>
      </c>
      <c r="J309" s="48">
        <v>27.03</v>
      </c>
      <c r="K309" s="48">
        <v>27.69</v>
      </c>
      <c r="L309" s="48">
        <v>28.42</v>
      </c>
      <c r="M309" s="48">
        <v>28.45</v>
      </c>
      <c r="N309" s="48">
        <v>29.2</v>
      </c>
      <c r="O309" s="48">
        <v>29.52</v>
      </c>
      <c r="P309" s="48">
        <v>30.49</v>
      </c>
      <c r="Q309" s="48">
        <v>30.91</v>
      </c>
      <c r="R309" s="48">
        <v>31.98</v>
      </c>
    </row>
    <row r="310" spans="1:18" ht="30">
      <c r="A310" s="13"/>
      <c r="B310" s="4" t="s">
        <v>172</v>
      </c>
      <c r="C310" s="3" t="s">
        <v>122</v>
      </c>
      <c r="D310" s="53">
        <v>50310.9</v>
      </c>
      <c r="E310" s="49">
        <v>49831.3</v>
      </c>
      <c r="F310" s="49">
        <v>49906.1</v>
      </c>
      <c r="G310" s="49">
        <v>50187.3</v>
      </c>
      <c r="H310" s="49">
        <v>50888.8</v>
      </c>
      <c r="I310" s="49">
        <v>51369.4</v>
      </c>
      <c r="J310" s="49">
        <v>52112.5</v>
      </c>
      <c r="K310" s="49">
        <v>52404.9</v>
      </c>
      <c r="L310" s="49">
        <v>53790.9</v>
      </c>
      <c r="M310" s="50">
        <v>52708.2</v>
      </c>
      <c r="N310" s="50">
        <v>54112.2</v>
      </c>
      <c r="O310" s="50">
        <v>53309.8</v>
      </c>
      <c r="P310" s="50">
        <v>55089.3</v>
      </c>
      <c r="Q310" s="50">
        <v>54275.4</v>
      </c>
      <c r="R310" s="50">
        <v>56149.9</v>
      </c>
    </row>
    <row r="311" spans="1:18" ht="15">
      <c r="A311" s="13"/>
      <c r="B311" s="4" t="s">
        <v>171</v>
      </c>
      <c r="C311" s="3" t="s">
        <v>24</v>
      </c>
      <c r="D311" s="54">
        <v>98.6</v>
      </c>
      <c r="E311" s="51">
        <v>96.6</v>
      </c>
      <c r="F311" s="51">
        <v>97.1</v>
      </c>
      <c r="G311" s="51">
        <v>96.4</v>
      </c>
      <c r="H311" s="51">
        <v>98</v>
      </c>
      <c r="I311" s="51">
        <v>98.6</v>
      </c>
      <c r="J311" s="51">
        <v>98.5</v>
      </c>
      <c r="K311" s="51">
        <v>98.1</v>
      </c>
      <c r="L311" s="51">
        <v>99.3</v>
      </c>
      <c r="M311" s="52">
        <v>96.7</v>
      </c>
      <c r="N311" s="52">
        <v>96.7</v>
      </c>
      <c r="O311" s="52">
        <v>97.3</v>
      </c>
      <c r="P311" s="52">
        <v>97.9</v>
      </c>
      <c r="Q311" s="52">
        <v>97.9</v>
      </c>
      <c r="R311" s="52">
        <v>98</v>
      </c>
    </row>
    <row r="312" spans="1:18" ht="15">
      <c r="A312" s="13"/>
      <c r="B312" s="4" t="s">
        <v>123</v>
      </c>
      <c r="C312" s="3" t="s">
        <v>122</v>
      </c>
      <c r="D312" s="53">
        <v>20704.9</v>
      </c>
      <c r="E312" s="49">
        <v>20344.1</v>
      </c>
      <c r="F312" s="49">
        <v>20784.1</v>
      </c>
      <c r="G312" s="49">
        <v>20937</v>
      </c>
      <c r="H312" s="49">
        <v>21140.6</v>
      </c>
      <c r="I312" s="49">
        <v>21575.6</v>
      </c>
      <c r="J312" s="49">
        <v>21994.9</v>
      </c>
      <c r="K312" s="49">
        <v>22299.7</v>
      </c>
      <c r="L312" s="49">
        <v>22951</v>
      </c>
      <c r="M312" s="52">
        <v>23191.7</v>
      </c>
      <c r="N312" s="52">
        <v>23869</v>
      </c>
      <c r="O312" s="52">
        <v>24119.4</v>
      </c>
      <c r="P312" s="52">
        <v>24823.8</v>
      </c>
      <c r="Q312" s="52">
        <v>25108.3</v>
      </c>
      <c r="R312" s="52">
        <v>25891.2</v>
      </c>
    </row>
    <row r="313" spans="1:18" s="18" customFormat="1" ht="15">
      <c r="A313" s="35" t="s">
        <v>361</v>
      </c>
      <c r="B313" s="37" t="s">
        <v>362</v>
      </c>
      <c r="C313" s="38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1:18" ht="15">
      <c r="A314" s="13"/>
      <c r="B314" s="41" t="s">
        <v>376</v>
      </c>
      <c r="C314" s="40" t="s">
        <v>50</v>
      </c>
      <c r="D314" s="7">
        <v>26.4</v>
      </c>
      <c r="E314" s="7">
        <v>26.4</v>
      </c>
      <c r="F314" s="7">
        <v>26.45</v>
      </c>
      <c r="G314" s="7">
        <v>26.44</v>
      </c>
      <c r="H314" s="7">
        <v>26.4</v>
      </c>
      <c r="I314" s="7">
        <v>26.4</v>
      </c>
      <c r="J314" s="7">
        <v>26.5</v>
      </c>
      <c r="K314" s="7">
        <v>26.5</v>
      </c>
      <c r="L314" s="7">
        <v>26.5</v>
      </c>
      <c r="M314" s="7">
        <v>26.5</v>
      </c>
      <c r="N314" s="7">
        <v>26.5</v>
      </c>
      <c r="O314" s="7">
        <v>26.6</v>
      </c>
      <c r="P314" s="7">
        <v>26.6</v>
      </c>
      <c r="Q314" s="7">
        <v>26.6</v>
      </c>
      <c r="R314" s="7">
        <v>26.6</v>
      </c>
    </row>
    <row r="315" spans="1:18" ht="15">
      <c r="A315" s="13"/>
      <c r="B315" s="41" t="s">
        <v>377</v>
      </c>
      <c r="C315" s="40" t="s">
        <v>50</v>
      </c>
      <c r="D315" s="7">
        <v>18.7</v>
      </c>
      <c r="E315" s="7">
        <v>18.5</v>
      </c>
      <c r="F315" s="7">
        <v>18.45</v>
      </c>
      <c r="G315" s="7">
        <v>18.34</v>
      </c>
      <c r="H315" s="7">
        <v>18.45</v>
      </c>
      <c r="I315" s="7">
        <v>18.3</v>
      </c>
      <c r="J315" s="7">
        <v>18.4</v>
      </c>
      <c r="K315" s="7">
        <v>18.4</v>
      </c>
      <c r="L315" s="7">
        <v>18.4</v>
      </c>
      <c r="M315" s="7">
        <v>18.3</v>
      </c>
      <c r="N315" s="7">
        <v>18.35</v>
      </c>
      <c r="O315" s="7">
        <v>18.25</v>
      </c>
      <c r="P315" s="7">
        <v>18.3</v>
      </c>
      <c r="Q315" s="7">
        <v>18.2</v>
      </c>
      <c r="R315" s="7">
        <v>18.25</v>
      </c>
    </row>
    <row r="316" spans="1:18" ht="30">
      <c r="A316" s="13"/>
      <c r="B316" s="4" t="s">
        <v>373</v>
      </c>
      <c r="C316" s="3" t="s">
        <v>374</v>
      </c>
      <c r="D316" s="28">
        <v>63940.1</v>
      </c>
      <c r="E316" s="55">
        <v>67915.6</v>
      </c>
      <c r="F316" s="55">
        <v>67997.1</v>
      </c>
      <c r="G316" s="55">
        <v>70105</v>
      </c>
      <c r="H316" s="55">
        <v>70710.2</v>
      </c>
      <c r="I316" s="55">
        <v>72979.4</v>
      </c>
      <c r="J316" s="55">
        <v>73892.2</v>
      </c>
      <c r="K316" s="55">
        <v>76482.4</v>
      </c>
      <c r="L316" s="55">
        <v>78104</v>
      </c>
      <c r="M316" s="56">
        <v>79541.7</v>
      </c>
      <c r="N316" s="56">
        <v>81618.7</v>
      </c>
      <c r="O316" s="56">
        <v>83041.5</v>
      </c>
      <c r="P316" s="56">
        <v>85944.5</v>
      </c>
      <c r="Q316" s="56">
        <v>86861.4</v>
      </c>
      <c r="R316" s="56">
        <v>90499.6</v>
      </c>
    </row>
    <row r="317" spans="1:18" ht="30">
      <c r="A317" s="13"/>
      <c r="B317" s="4" t="s">
        <v>375</v>
      </c>
      <c r="C317" s="3" t="s">
        <v>24</v>
      </c>
      <c r="D317" s="28">
        <v>100.2</v>
      </c>
      <c r="E317" s="55">
        <v>106.2</v>
      </c>
      <c r="F317" s="55">
        <v>100.1</v>
      </c>
      <c r="G317" s="55">
        <v>103.1</v>
      </c>
      <c r="H317" s="55">
        <v>104</v>
      </c>
      <c r="I317" s="55">
        <v>104.1</v>
      </c>
      <c r="J317" s="55">
        <v>104.5</v>
      </c>
      <c r="K317" s="55">
        <v>104.8</v>
      </c>
      <c r="L317" s="55">
        <v>105.7</v>
      </c>
      <c r="M317" s="7">
        <v>104</v>
      </c>
      <c r="N317" s="7">
        <v>104.5</v>
      </c>
      <c r="O317" s="7">
        <v>104.4</v>
      </c>
      <c r="P317" s="7">
        <v>105.3</v>
      </c>
      <c r="Q317" s="7">
        <v>104.6</v>
      </c>
      <c r="R317" s="7">
        <v>105.3</v>
      </c>
    </row>
    <row r="318" spans="1:18" ht="15">
      <c r="A318" s="13"/>
      <c r="B318" s="41" t="s">
        <v>19</v>
      </c>
      <c r="C318" s="40" t="s">
        <v>367</v>
      </c>
      <c r="D318" s="57">
        <v>29.2</v>
      </c>
      <c r="E318" s="58">
        <v>29.9</v>
      </c>
      <c r="F318" s="58">
        <v>30.2</v>
      </c>
      <c r="G318" s="58">
        <v>30.6</v>
      </c>
      <c r="H318" s="58">
        <v>30.1</v>
      </c>
      <c r="I318" s="58">
        <v>30.7</v>
      </c>
      <c r="J318" s="58">
        <v>30.6</v>
      </c>
      <c r="K318" s="58">
        <v>30.6</v>
      </c>
      <c r="L318" s="58">
        <v>30.6</v>
      </c>
      <c r="M318" s="58">
        <v>30.9</v>
      </c>
      <c r="N318" s="58">
        <v>30.8</v>
      </c>
      <c r="O318" s="58">
        <v>31.4</v>
      </c>
      <c r="P318" s="58">
        <v>31.2</v>
      </c>
      <c r="Q318" s="58">
        <v>31.6</v>
      </c>
      <c r="R318" s="58">
        <v>31.4</v>
      </c>
    </row>
    <row r="319" spans="1:18" ht="30">
      <c r="A319" s="13"/>
      <c r="B319" s="41" t="s">
        <v>20</v>
      </c>
      <c r="C319" s="40" t="s">
        <v>8</v>
      </c>
      <c r="D319" s="57">
        <v>1.1</v>
      </c>
      <c r="E319" s="58">
        <v>1.19</v>
      </c>
      <c r="F319" s="58">
        <v>1.17</v>
      </c>
      <c r="G319" s="58">
        <v>1.18</v>
      </c>
      <c r="H319" s="58">
        <v>1.16</v>
      </c>
      <c r="I319" s="58">
        <v>1.17</v>
      </c>
      <c r="J319" s="58">
        <v>1.13</v>
      </c>
      <c r="K319" s="58">
        <v>1.13</v>
      </c>
      <c r="L319" s="58">
        <v>1.11</v>
      </c>
      <c r="M319" s="58">
        <v>1.09</v>
      </c>
      <c r="N319" s="58">
        <v>1.08</v>
      </c>
      <c r="O319" s="58">
        <v>1.05</v>
      </c>
      <c r="P319" s="58">
        <v>1.02</v>
      </c>
      <c r="Q319" s="58">
        <v>0.98</v>
      </c>
      <c r="R319" s="58">
        <v>0.94</v>
      </c>
    </row>
    <row r="320" spans="1:18" ht="15">
      <c r="A320" s="13"/>
      <c r="B320" s="41" t="s">
        <v>368</v>
      </c>
      <c r="C320" s="40" t="s">
        <v>50</v>
      </c>
      <c r="D320" s="98">
        <v>7.7</v>
      </c>
      <c r="E320" s="98">
        <v>7.9</v>
      </c>
      <c r="F320" s="99">
        <v>8</v>
      </c>
      <c r="G320" s="99">
        <v>8.1</v>
      </c>
      <c r="H320" s="99">
        <v>7.95</v>
      </c>
      <c r="I320" s="99">
        <v>8.1</v>
      </c>
      <c r="J320" s="99">
        <v>8.1</v>
      </c>
      <c r="K320" s="99">
        <v>8.1</v>
      </c>
      <c r="L320" s="99">
        <v>8.1</v>
      </c>
      <c r="M320" s="99">
        <v>8.2</v>
      </c>
      <c r="N320" s="99">
        <v>8.15</v>
      </c>
      <c r="O320" s="99">
        <v>8.35</v>
      </c>
      <c r="P320" s="99">
        <v>8.299999999999999</v>
      </c>
      <c r="Q320" s="99">
        <v>8.4</v>
      </c>
      <c r="R320" s="99">
        <v>8.350000000000001</v>
      </c>
    </row>
    <row r="321" spans="1:18" ht="60">
      <c r="A321" s="13"/>
      <c r="B321" s="41" t="s">
        <v>21</v>
      </c>
      <c r="C321" s="40" t="s">
        <v>50</v>
      </c>
      <c r="D321" s="100">
        <v>0.292</v>
      </c>
      <c r="E321" s="100">
        <v>0.313</v>
      </c>
      <c r="F321" s="100">
        <v>0.31</v>
      </c>
      <c r="G321" s="100">
        <v>0.312</v>
      </c>
      <c r="H321" s="100">
        <v>0.305</v>
      </c>
      <c r="I321" s="100">
        <v>0.31</v>
      </c>
      <c r="J321" s="100">
        <v>0.3</v>
      </c>
      <c r="K321" s="100">
        <v>0.3</v>
      </c>
      <c r="L321" s="100">
        <v>0.295</v>
      </c>
      <c r="M321" s="100">
        <v>0.29</v>
      </c>
      <c r="N321" s="100">
        <v>0.285</v>
      </c>
      <c r="O321" s="100">
        <v>0.28</v>
      </c>
      <c r="P321" s="100">
        <v>0.27</v>
      </c>
      <c r="Q321" s="100">
        <v>0.26</v>
      </c>
      <c r="R321" s="100">
        <v>0.25</v>
      </c>
    </row>
    <row r="322" spans="1:18" ht="78.75" customHeight="1">
      <c r="A322" s="13"/>
      <c r="B322" s="46" t="s">
        <v>372</v>
      </c>
      <c r="C322" s="40" t="s">
        <v>173</v>
      </c>
      <c r="D322" s="7">
        <v>2</v>
      </c>
      <c r="E322" s="7">
        <v>3</v>
      </c>
      <c r="F322" s="7">
        <v>2</v>
      </c>
      <c r="G322" s="7">
        <v>1</v>
      </c>
      <c r="H322" s="7">
        <v>2</v>
      </c>
      <c r="I322" s="7">
        <v>1</v>
      </c>
      <c r="J322" s="7">
        <v>2</v>
      </c>
      <c r="K322" s="7">
        <v>1</v>
      </c>
      <c r="L322" s="7">
        <v>1</v>
      </c>
      <c r="M322" s="7">
        <v>1</v>
      </c>
      <c r="N322" s="7">
        <v>1</v>
      </c>
      <c r="O322" s="7">
        <v>1</v>
      </c>
      <c r="P322" s="7">
        <v>1</v>
      </c>
      <c r="Q322" s="7">
        <v>1</v>
      </c>
      <c r="R322" s="7">
        <v>1</v>
      </c>
    </row>
    <row r="323" spans="1:18" ht="30">
      <c r="A323" s="13"/>
      <c r="B323" s="4" t="s">
        <v>124</v>
      </c>
      <c r="C323" s="3" t="s">
        <v>50</v>
      </c>
      <c r="D323" s="59">
        <v>17.025</v>
      </c>
      <c r="E323" s="59">
        <v>16.478</v>
      </c>
      <c r="F323" s="58">
        <v>16.22</v>
      </c>
      <c r="G323" s="58">
        <v>16.05</v>
      </c>
      <c r="H323" s="58">
        <v>16.07</v>
      </c>
      <c r="I323" s="58">
        <v>15.9</v>
      </c>
      <c r="J323" s="58">
        <v>16</v>
      </c>
      <c r="K323" s="58">
        <v>15.85</v>
      </c>
      <c r="L323" s="58">
        <v>15.95</v>
      </c>
      <c r="M323" s="7">
        <v>15.65</v>
      </c>
      <c r="N323" s="7">
        <v>15.7</v>
      </c>
      <c r="O323" s="7">
        <v>15.6</v>
      </c>
      <c r="P323" s="7">
        <v>15.65</v>
      </c>
      <c r="Q323" s="7">
        <v>15.55</v>
      </c>
      <c r="R323" s="7">
        <v>15.6</v>
      </c>
    </row>
    <row r="324" spans="1:18" ht="30">
      <c r="A324" s="13"/>
      <c r="B324" s="4" t="s">
        <v>125</v>
      </c>
      <c r="C324" s="3" t="s">
        <v>2</v>
      </c>
      <c r="D324" s="101">
        <v>13062.9</v>
      </c>
      <c r="E324" s="102">
        <v>13429.4</v>
      </c>
      <c r="F324" s="102">
        <v>13235</v>
      </c>
      <c r="G324" s="102">
        <v>13502.2</v>
      </c>
      <c r="H324" s="102">
        <v>13635.8</v>
      </c>
      <c r="I324" s="102">
        <v>13924.5</v>
      </c>
      <c r="J324" s="102">
        <v>14187.3</v>
      </c>
      <c r="K324" s="102">
        <v>14546.9</v>
      </c>
      <c r="L324" s="102">
        <v>14949.1</v>
      </c>
      <c r="M324" s="103">
        <v>14937.9</v>
      </c>
      <c r="N324" s="103">
        <v>15377</v>
      </c>
      <c r="O324" s="7">
        <v>15545.4</v>
      </c>
      <c r="P324" s="7">
        <v>16140.4</v>
      </c>
      <c r="Q324" s="7">
        <v>16208.3</v>
      </c>
      <c r="R324" s="7">
        <v>16941.5</v>
      </c>
    </row>
    <row r="325" spans="1:18" s="18" customFormat="1" ht="15">
      <c r="A325" s="35" t="s">
        <v>363</v>
      </c>
      <c r="B325" s="37" t="s">
        <v>364</v>
      </c>
      <c r="C325" s="42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ht="30">
      <c r="A326" s="13"/>
      <c r="B326" s="4" t="s">
        <v>126</v>
      </c>
      <c r="C326" s="3" t="s">
        <v>50</v>
      </c>
      <c r="D326" s="28">
        <v>2673</v>
      </c>
      <c r="E326" s="28">
        <v>2679</v>
      </c>
      <c r="F326" s="28">
        <v>2692</v>
      </c>
      <c r="G326" s="28">
        <v>2776</v>
      </c>
      <c r="H326" s="28">
        <v>2826</v>
      </c>
      <c r="I326" s="28">
        <v>2819</v>
      </c>
      <c r="J326" s="28">
        <v>3018</v>
      </c>
      <c r="K326" s="28">
        <v>2825</v>
      </c>
      <c r="L326" s="28">
        <v>3132</v>
      </c>
      <c r="M326" s="7">
        <v>3159</v>
      </c>
      <c r="N326" s="7">
        <v>3159</v>
      </c>
      <c r="O326" s="7">
        <v>3159</v>
      </c>
      <c r="P326" s="7">
        <v>3159</v>
      </c>
      <c r="Q326" s="7">
        <v>3159</v>
      </c>
      <c r="R326" s="7">
        <v>3159</v>
      </c>
    </row>
    <row r="327" spans="1:18" ht="60">
      <c r="A327" s="13"/>
      <c r="B327" s="4" t="s">
        <v>174</v>
      </c>
      <c r="C327" s="3" t="s">
        <v>50</v>
      </c>
      <c r="D327" s="68">
        <f>D328+D329</f>
        <v>4.986</v>
      </c>
      <c r="E327" s="30">
        <f aca="true" t="shared" si="42" ref="E327:R327">E328+E329</f>
        <v>5.126</v>
      </c>
      <c r="F327" s="30">
        <f t="shared" si="42"/>
        <v>5.369</v>
      </c>
      <c r="G327" s="30">
        <f t="shared" si="42"/>
        <v>5.456</v>
      </c>
      <c r="H327" s="30">
        <f t="shared" si="42"/>
        <v>5.456</v>
      </c>
      <c r="I327" s="30">
        <f t="shared" si="42"/>
        <v>5.583</v>
      </c>
      <c r="J327" s="30">
        <f t="shared" si="42"/>
        <v>5.583</v>
      </c>
      <c r="K327" s="30">
        <f t="shared" si="42"/>
        <v>5.746</v>
      </c>
      <c r="L327" s="30">
        <f t="shared" si="42"/>
        <v>5.746</v>
      </c>
      <c r="M327" s="30">
        <f t="shared" si="42"/>
        <v>5.875</v>
      </c>
      <c r="N327" s="30">
        <f t="shared" si="42"/>
        <v>5.875</v>
      </c>
      <c r="O327" s="30">
        <f t="shared" si="42"/>
        <v>5.954999999999999</v>
      </c>
      <c r="P327" s="30">
        <f t="shared" si="42"/>
        <v>5.954999999999999</v>
      </c>
      <c r="Q327" s="30">
        <f t="shared" si="42"/>
        <v>5.99</v>
      </c>
      <c r="R327" s="30">
        <f t="shared" si="42"/>
        <v>5.99</v>
      </c>
    </row>
    <row r="328" spans="1:18" ht="15">
      <c r="A328" s="13"/>
      <c r="B328" s="4" t="s">
        <v>127</v>
      </c>
      <c r="C328" s="3" t="s">
        <v>50</v>
      </c>
      <c r="D328" s="69">
        <v>4.89</v>
      </c>
      <c r="E328" s="70">
        <v>5.022</v>
      </c>
      <c r="F328" s="70">
        <v>5.252</v>
      </c>
      <c r="G328" s="70">
        <v>5.338</v>
      </c>
      <c r="H328" s="70">
        <v>5.338</v>
      </c>
      <c r="I328" s="70">
        <v>5.455</v>
      </c>
      <c r="J328" s="70">
        <v>5.455</v>
      </c>
      <c r="K328" s="70">
        <v>5.612</v>
      </c>
      <c r="L328" s="70">
        <v>5.612</v>
      </c>
      <c r="M328" s="48">
        <v>5.735</v>
      </c>
      <c r="N328" s="48">
        <v>5.735</v>
      </c>
      <c r="O328" s="48">
        <v>5.81</v>
      </c>
      <c r="P328" s="48">
        <v>5.81</v>
      </c>
      <c r="Q328" s="48">
        <v>5.84</v>
      </c>
      <c r="R328" s="48">
        <v>5.84</v>
      </c>
    </row>
    <row r="329" spans="1:18" ht="15">
      <c r="A329" s="13"/>
      <c r="B329" s="4" t="s">
        <v>128</v>
      </c>
      <c r="C329" s="3" t="s">
        <v>50</v>
      </c>
      <c r="D329" s="30">
        <v>0.096</v>
      </c>
      <c r="E329" s="70">
        <v>0.104</v>
      </c>
      <c r="F329" s="70">
        <v>0.117</v>
      </c>
      <c r="G329" s="70">
        <v>0.118</v>
      </c>
      <c r="H329" s="70">
        <v>0.118</v>
      </c>
      <c r="I329" s="70">
        <v>0.128</v>
      </c>
      <c r="J329" s="70">
        <v>0.128</v>
      </c>
      <c r="K329" s="70">
        <v>0.134</v>
      </c>
      <c r="L329" s="70">
        <v>0.134</v>
      </c>
      <c r="M329" s="48">
        <v>0.14</v>
      </c>
      <c r="N329" s="48">
        <v>0.14</v>
      </c>
      <c r="O329" s="48">
        <v>0.145</v>
      </c>
      <c r="P329" s="48">
        <v>0.145</v>
      </c>
      <c r="Q329" s="48">
        <v>0.15</v>
      </c>
      <c r="R329" s="48">
        <v>0.15</v>
      </c>
    </row>
    <row r="330" spans="1:18" ht="45">
      <c r="A330" s="13"/>
      <c r="B330" s="4" t="s">
        <v>129</v>
      </c>
      <c r="C330" s="3" t="s">
        <v>50</v>
      </c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</row>
    <row r="331" spans="1:19" ht="45">
      <c r="A331" s="13"/>
      <c r="B331" s="4" t="s">
        <v>130</v>
      </c>
      <c r="C331" s="3" t="s">
        <v>50</v>
      </c>
      <c r="D331" s="71">
        <v>0.831</v>
      </c>
      <c r="E331" s="72">
        <v>0.798</v>
      </c>
      <c r="F331" s="72">
        <v>0.811</v>
      </c>
      <c r="G331" s="73">
        <v>0.83</v>
      </c>
      <c r="H331" s="73">
        <v>0.835</v>
      </c>
      <c r="I331" s="73">
        <v>0.833</v>
      </c>
      <c r="J331" s="73">
        <v>0.838</v>
      </c>
      <c r="K331" s="73">
        <v>0.844</v>
      </c>
      <c r="L331" s="73">
        <v>0.849</v>
      </c>
      <c r="M331" s="73">
        <v>0.849</v>
      </c>
      <c r="N331" s="73">
        <v>0.849</v>
      </c>
      <c r="O331" s="7">
        <v>0.855</v>
      </c>
      <c r="P331" s="7">
        <v>0.855</v>
      </c>
      <c r="Q331" s="7">
        <v>0.86</v>
      </c>
      <c r="R331" s="7">
        <v>0.86</v>
      </c>
      <c r="S331" s="79"/>
    </row>
    <row r="332" spans="1:19" ht="30">
      <c r="A332" s="13"/>
      <c r="B332" s="4" t="s">
        <v>131</v>
      </c>
      <c r="C332" s="3" t="s">
        <v>50</v>
      </c>
      <c r="D332" s="59">
        <v>0.831</v>
      </c>
      <c r="E332" s="74">
        <v>0.798</v>
      </c>
      <c r="F332" s="74">
        <v>0.811</v>
      </c>
      <c r="G332" s="75">
        <v>0.83</v>
      </c>
      <c r="H332" s="75">
        <v>0.835</v>
      </c>
      <c r="I332" s="75">
        <v>0.833</v>
      </c>
      <c r="J332" s="75">
        <v>0.838</v>
      </c>
      <c r="K332" s="75">
        <v>0.844</v>
      </c>
      <c r="L332" s="75">
        <v>0.849</v>
      </c>
      <c r="M332" s="75">
        <v>0.849</v>
      </c>
      <c r="N332" s="75">
        <v>0.849</v>
      </c>
      <c r="O332" s="7">
        <v>0.855</v>
      </c>
      <c r="P332" s="7">
        <v>0.855</v>
      </c>
      <c r="Q332" s="7">
        <v>0.86</v>
      </c>
      <c r="R332" s="7">
        <v>0.86</v>
      </c>
      <c r="S332" s="79"/>
    </row>
    <row r="333" spans="1:19" ht="45">
      <c r="A333" s="13"/>
      <c r="B333" s="4" t="s">
        <v>132</v>
      </c>
      <c r="C333" s="3" t="s">
        <v>50</v>
      </c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79"/>
    </row>
    <row r="334" spans="1:19" ht="30">
      <c r="A334" s="13"/>
      <c r="B334" s="4" t="s">
        <v>131</v>
      </c>
      <c r="C334" s="3" t="s">
        <v>50</v>
      </c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79"/>
    </row>
    <row r="335" spans="1:19" ht="15">
      <c r="A335" s="13"/>
      <c r="B335" s="4" t="s">
        <v>133</v>
      </c>
      <c r="C335" s="3" t="s">
        <v>18</v>
      </c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79"/>
    </row>
    <row r="336" spans="1:19" ht="45">
      <c r="A336" s="13"/>
      <c r="B336" s="4" t="s">
        <v>134</v>
      </c>
      <c r="C336" s="3" t="s">
        <v>50</v>
      </c>
      <c r="D336" s="30">
        <v>0.158</v>
      </c>
      <c r="E336" s="30">
        <v>0.236</v>
      </c>
      <c r="F336" s="30">
        <v>0.175</v>
      </c>
      <c r="G336" s="68">
        <v>0.206</v>
      </c>
      <c r="H336" s="68">
        <f>G336+0.005</f>
        <v>0.211</v>
      </c>
      <c r="I336" s="68">
        <v>0.232</v>
      </c>
      <c r="J336" s="68">
        <f>I336+0.005</f>
        <v>0.23700000000000002</v>
      </c>
      <c r="K336" s="30">
        <v>0.234</v>
      </c>
      <c r="L336" s="30">
        <f>K336+0.005</f>
        <v>0.23900000000000002</v>
      </c>
      <c r="M336" s="7">
        <v>0.235</v>
      </c>
      <c r="N336" s="7">
        <v>0.24</v>
      </c>
      <c r="O336" s="7">
        <v>0.235</v>
      </c>
      <c r="P336" s="7">
        <v>0.24</v>
      </c>
      <c r="Q336" s="7">
        <v>0.237</v>
      </c>
      <c r="R336" s="7">
        <v>0.242</v>
      </c>
      <c r="S336" s="79"/>
    </row>
    <row r="337" spans="1:19" ht="45">
      <c r="A337" s="13"/>
      <c r="B337" s="4" t="s">
        <v>135</v>
      </c>
      <c r="C337" s="3" t="s">
        <v>50</v>
      </c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79"/>
    </row>
    <row r="338" spans="1:19" ht="15">
      <c r="A338" s="13"/>
      <c r="B338" s="4" t="s">
        <v>175</v>
      </c>
      <c r="C338" s="3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79"/>
    </row>
    <row r="339" spans="1:19" ht="30">
      <c r="A339" s="13"/>
      <c r="B339" s="4" t="s">
        <v>136</v>
      </c>
      <c r="C339" s="3" t="s">
        <v>176</v>
      </c>
      <c r="D339" s="76">
        <v>57.8</v>
      </c>
      <c r="E339" s="76">
        <v>58</v>
      </c>
      <c r="F339" s="76">
        <v>57.7</v>
      </c>
      <c r="G339" s="76">
        <v>57.5</v>
      </c>
      <c r="H339" s="76">
        <v>57.6</v>
      </c>
      <c r="I339" s="76">
        <v>57.2</v>
      </c>
      <c r="J339" s="76">
        <v>57.4</v>
      </c>
      <c r="K339" s="76">
        <v>57</v>
      </c>
      <c r="L339" s="76">
        <v>57.1</v>
      </c>
      <c r="M339" s="110">
        <v>55.2</v>
      </c>
      <c r="N339" s="110">
        <v>55.2</v>
      </c>
      <c r="O339" s="50">
        <v>54.5</v>
      </c>
      <c r="P339" s="50">
        <v>54.5</v>
      </c>
      <c r="Q339" s="50">
        <v>53.8</v>
      </c>
      <c r="R339" s="50">
        <v>53.8</v>
      </c>
      <c r="S339" s="79"/>
    </row>
    <row r="340" spans="1:19" ht="30">
      <c r="A340" s="13"/>
      <c r="B340" s="4" t="s">
        <v>137</v>
      </c>
      <c r="C340" s="3" t="s">
        <v>177</v>
      </c>
      <c r="D340" s="76">
        <f>2/37150*100000</f>
        <v>5.383580080753701</v>
      </c>
      <c r="E340" s="76">
        <f>2/37411*100000</f>
        <v>5.346021223704258</v>
      </c>
      <c r="F340" s="76">
        <f>2/37875*100000</f>
        <v>5.2805280528052805</v>
      </c>
      <c r="G340" s="76">
        <f>2/38322*100000</f>
        <v>5.218934293617243</v>
      </c>
      <c r="H340" s="76">
        <f>2/38322*100000</f>
        <v>5.218934293617243</v>
      </c>
      <c r="I340" s="76">
        <f>2/38804*100000</f>
        <v>5.154107823935677</v>
      </c>
      <c r="J340" s="76">
        <f>2/38804*100000</f>
        <v>5.154107823935677</v>
      </c>
      <c r="K340" s="76">
        <f>2/39144*100000</f>
        <v>5.109339873288372</v>
      </c>
      <c r="L340" s="76">
        <f>2/39144*100000</f>
        <v>5.109339873288372</v>
      </c>
      <c r="M340" s="110">
        <v>5.09</v>
      </c>
      <c r="N340" s="110">
        <v>5.09</v>
      </c>
      <c r="O340" s="50">
        <v>5.02</v>
      </c>
      <c r="P340" s="50">
        <v>5.02</v>
      </c>
      <c r="Q340" s="50">
        <v>4.96</v>
      </c>
      <c r="R340" s="50">
        <v>4.96</v>
      </c>
      <c r="S340" s="79"/>
    </row>
    <row r="341" spans="1:19" ht="30">
      <c r="A341" s="13"/>
      <c r="B341" s="4" t="s">
        <v>138</v>
      </c>
      <c r="C341" s="3" t="s">
        <v>177</v>
      </c>
      <c r="D341" s="76">
        <f>2/37150*100000</f>
        <v>5.383580080753701</v>
      </c>
      <c r="E341" s="76">
        <f>2/37411*100000</f>
        <v>5.346021223704258</v>
      </c>
      <c r="F341" s="76">
        <f>2/37875*100000</f>
        <v>5.2805280528052805</v>
      </c>
      <c r="G341" s="76">
        <f>2/38322*100000</f>
        <v>5.218934293617243</v>
      </c>
      <c r="H341" s="76">
        <f>2/38322*100000</f>
        <v>5.218934293617243</v>
      </c>
      <c r="I341" s="76">
        <f>2/38804*100000</f>
        <v>5.154107823935677</v>
      </c>
      <c r="J341" s="76">
        <f>2/38804*100000</f>
        <v>5.154107823935677</v>
      </c>
      <c r="K341" s="76">
        <f>2/39144*100000</f>
        <v>5.109339873288372</v>
      </c>
      <c r="L341" s="76">
        <f>2/39144*100000</f>
        <v>5.109339873288372</v>
      </c>
      <c r="M341" s="110">
        <v>5.09</v>
      </c>
      <c r="N341" s="110">
        <v>5.09</v>
      </c>
      <c r="O341" s="50">
        <v>5.02</v>
      </c>
      <c r="P341" s="50">
        <v>5.02</v>
      </c>
      <c r="Q341" s="50">
        <v>4.96</v>
      </c>
      <c r="R341" s="50">
        <v>4.96</v>
      </c>
      <c r="S341" s="79"/>
    </row>
    <row r="342" spans="1:19" ht="30">
      <c r="A342" s="13"/>
      <c r="B342" s="4" t="s">
        <v>139</v>
      </c>
      <c r="C342" s="3" t="s">
        <v>140</v>
      </c>
      <c r="D342" s="28">
        <v>746.6</v>
      </c>
      <c r="E342" s="55">
        <v>747.5</v>
      </c>
      <c r="F342" s="55">
        <v>737.9</v>
      </c>
      <c r="G342" s="55">
        <v>784</v>
      </c>
      <c r="H342" s="55">
        <v>798.3</v>
      </c>
      <c r="I342" s="55">
        <v>794.5</v>
      </c>
      <c r="J342" s="55">
        <v>850.6</v>
      </c>
      <c r="K342" s="55">
        <v>794.7</v>
      </c>
      <c r="L342" s="55">
        <v>881</v>
      </c>
      <c r="M342" s="106">
        <v>978.9</v>
      </c>
      <c r="N342" s="106">
        <v>978.9</v>
      </c>
      <c r="O342" s="50">
        <v>1004.1</v>
      </c>
      <c r="P342" s="50">
        <v>1004.1</v>
      </c>
      <c r="Q342" s="50">
        <v>1026.6</v>
      </c>
      <c r="R342" s="50">
        <v>1026.6</v>
      </c>
      <c r="S342" s="79"/>
    </row>
    <row r="343" spans="1:19" ht="30">
      <c r="A343" s="13"/>
      <c r="B343" s="4" t="s">
        <v>141</v>
      </c>
      <c r="C343" s="3" t="s">
        <v>142</v>
      </c>
      <c r="D343" s="30">
        <v>224.1</v>
      </c>
      <c r="E343" s="55">
        <v>224.9</v>
      </c>
      <c r="F343" s="55">
        <v>223.8</v>
      </c>
      <c r="G343" s="55">
        <v>222.8</v>
      </c>
      <c r="H343" s="55">
        <v>223.1</v>
      </c>
      <c r="I343" s="55">
        <v>221.8</v>
      </c>
      <c r="J343" s="55">
        <v>222.5</v>
      </c>
      <c r="K343" s="55">
        <v>220.9</v>
      </c>
      <c r="L343" s="55">
        <v>221.3</v>
      </c>
      <c r="M343" s="106">
        <v>214</v>
      </c>
      <c r="N343" s="50">
        <v>213.5</v>
      </c>
      <c r="O343" s="50">
        <v>211.3</v>
      </c>
      <c r="P343" s="50">
        <v>211.3</v>
      </c>
      <c r="Q343" s="50">
        <v>208.9</v>
      </c>
      <c r="R343" s="50">
        <v>208.7</v>
      </c>
      <c r="S343" s="79"/>
    </row>
    <row r="344" spans="1:18" ht="15">
      <c r="A344" s="13"/>
      <c r="B344" s="4" t="s">
        <v>143</v>
      </c>
      <c r="C344" s="3"/>
      <c r="D344" s="28"/>
      <c r="E344" s="77"/>
      <c r="F344" s="77"/>
      <c r="G344" s="77"/>
      <c r="H344" s="77"/>
      <c r="I344" s="77"/>
      <c r="J344" s="77"/>
      <c r="K344" s="77"/>
      <c r="L344" s="77"/>
      <c r="M344" s="48"/>
      <c r="N344" s="48"/>
      <c r="O344" s="48"/>
      <c r="P344" s="48"/>
      <c r="Q344" s="48"/>
      <c r="R344" s="48"/>
    </row>
    <row r="345" spans="1:18" ht="30">
      <c r="A345" s="13"/>
      <c r="B345" s="4" t="s">
        <v>144</v>
      </c>
      <c r="C345" s="3" t="s">
        <v>178</v>
      </c>
      <c r="D345" s="78">
        <v>0.149</v>
      </c>
      <c r="E345" s="70">
        <v>0.157</v>
      </c>
      <c r="F345" s="70">
        <v>0.157</v>
      </c>
      <c r="G345" s="70">
        <v>0.157</v>
      </c>
      <c r="H345" s="70">
        <v>0.158</v>
      </c>
      <c r="I345" s="70">
        <v>0.158</v>
      </c>
      <c r="J345" s="70">
        <v>0.159</v>
      </c>
      <c r="K345" s="70">
        <v>0.158</v>
      </c>
      <c r="L345" s="70">
        <v>0.16</v>
      </c>
      <c r="M345" s="7">
        <v>0.16</v>
      </c>
      <c r="N345" s="7">
        <v>0.162</v>
      </c>
      <c r="O345" s="7">
        <v>0.162</v>
      </c>
      <c r="P345" s="7">
        <v>0.162</v>
      </c>
      <c r="Q345" s="7">
        <v>0.164</v>
      </c>
      <c r="R345" s="7">
        <v>0.164</v>
      </c>
    </row>
    <row r="346" spans="1:18" ht="30">
      <c r="A346" s="13"/>
      <c r="B346" s="4" t="s">
        <v>145</v>
      </c>
      <c r="C346" s="3" t="s">
        <v>178</v>
      </c>
      <c r="D346" s="68">
        <v>0.46</v>
      </c>
      <c r="E346" s="70">
        <v>0.461</v>
      </c>
      <c r="F346" s="70">
        <v>0.461</v>
      </c>
      <c r="G346" s="70">
        <v>0.461</v>
      </c>
      <c r="H346" s="70">
        <v>0.464</v>
      </c>
      <c r="I346" s="70">
        <v>0.461</v>
      </c>
      <c r="J346" s="70">
        <v>0.464</v>
      </c>
      <c r="K346" s="70">
        <v>0.463</v>
      </c>
      <c r="L346" s="70">
        <v>0.465</v>
      </c>
      <c r="M346" s="70">
        <v>0.463</v>
      </c>
      <c r="N346" s="70">
        <v>0.465</v>
      </c>
      <c r="O346" s="7">
        <v>0.465</v>
      </c>
      <c r="P346" s="7">
        <v>0.467</v>
      </c>
      <c r="Q346" s="7">
        <v>0.467</v>
      </c>
      <c r="R346" s="80">
        <v>0.47</v>
      </c>
    </row>
    <row r="347" spans="1:18" s="18" customFormat="1" ht="15" hidden="1">
      <c r="A347" s="35" t="s">
        <v>359</v>
      </c>
      <c r="B347" s="37" t="s">
        <v>366</v>
      </c>
      <c r="C347" s="38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</row>
    <row r="348" spans="1:18" ht="45" hidden="1">
      <c r="A348" s="13"/>
      <c r="B348" s="41" t="s">
        <v>146</v>
      </c>
      <c r="C348" s="40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ht="15" hidden="1">
      <c r="A349" s="13"/>
      <c r="B349" s="41" t="s">
        <v>147</v>
      </c>
      <c r="C349" s="40" t="s">
        <v>50</v>
      </c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</row>
    <row r="350" spans="1:18" ht="15" hidden="1">
      <c r="A350" s="13"/>
      <c r="B350" s="41" t="s">
        <v>148</v>
      </c>
      <c r="C350" s="40" t="s">
        <v>50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</row>
    <row r="351" spans="1:18" ht="15" hidden="1">
      <c r="A351" s="13"/>
      <c r="B351" s="41" t="s">
        <v>149</v>
      </c>
      <c r="C351" s="40" t="s">
        <v>50</v>
      </c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</row>
    <row r="352" spans="1:18" ht="30" hidden="1">
      <c r="A352" s="13"/>
      <c r="B352" s="41" t="s">
        <v>150</v>
      </c>
      <c r="C352" s="47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</row>
    <row r="353" spans="1:18" ht="15" hidden="1">
      <c r="A353" s="13"/>
      <c r="B353" s="41" t="s">
        <v>147</v>
      </c>
      <c r="C353" s="40" t="s">
        <v>50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</row>
    <row r="354" spans="1:18" ht="15" hidden="1">
      <c r="A354" s="13"/>
      <c r="B354" s="41" t="s">
        <v>151</v>
      </c>
      <c r="C354" s="40" t="s">
        <v>50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</row>
    <row r="355" spans="1:18" ht="15" hidden="1">
      <c r="A355" s="13"/>
      <c r="B355" s="41" t="s">
        <v>152</v>
      </c>
      <c r="C355" s="40" t="s">
        <v>50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</row>
    <row r="356" spans="1:18" ht="30" hidden="1">
      <c r="A356" s="13"/>
      <c r="B356" s="41" t="s">
        <v>153</v>
      </c>
      <c r="C356" s="40" t="s">
        <v>50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</row>
  </sheetData>
  <sheetProtection/>
  <mergeCells count="16">
    <mergeCell ref="A4:A6"/>
    <mergeCell ref="I5:J5"/>
    <mergeCell ref="K5:L5"/>
    <mergeCell ref="M5:N5"/>
    <mergeCell ref="O5:P5"/>
    <mergeCell ref="Q5:R5"/>
    <mergeCell ref="D1:R1"/>
    <mergeCell ref="D2:R2"/>
    <mergeCell ref="D3:R3"/>
    <mergeCell ref="B4:B6"/>
    <mergeCell ref="C4:C6"/>
    <mergeCell ref="G4:R4"/>
    <mergeCell ref="D5:D6"/>
    <mergeCell ref="E5:E6"/>
    <mergeCell ref="F5:F6"/>
    <mergeCell ref="G5:H5"/>
  </mergeCells>
  <printOptions/>
  <pageMargins left="0.2362204724409449" right="0.03937007874015748" top="0.35433070866141736" bottom="0.35433070866141736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Пивоварчик Лидия Геннадьевна</cp:lastModifiedBy>
  <cp:lastPrinted>2018-08-31T06:42:54Z</cp:lastPrinted>
  <dcterms:created xsi:type="dcterms:W3CDTF">2013-05-25T16:45:04Z</dcterms:created>
  <dcterms:modified xsi:type="dcterms:W3CDTF">2018-08-31T06:50:37Z</dcterms:modified>
  <cp:category/>
  <cp:version/>
  <cp:contentType/>
  <cp:contentStatus/>
</cp:coreProperties>
</file>